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mória de Cálculo" sheetId="1" r:id="rId4"/>
    <sheet state="visible" name="Plan1" sheetId="2" r:id="rId5"/>
  </sheets>
  <definedNames/>
  <calcPr/>
  <extLst>
    <ext uri="GoogleSheetsCustomDataVersion2">
      <go:sheetsCustomData xmlns:go="http://customooxmlschemas.google.com/" r:id="rId6" roundtripDataChecksum="2NDbAMNOX1OUtwBn0JY2Z2djYxlxfBwGJzJ7/73xkP0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36">
      <text>
        <t xml:space="preserve">======
ID#AAAAxshyoxg
Autor    (2023-05-25 02:19:43)
VERIFICAR QUANTIDADE</t>
      </text>
    </comment>
    <comment authorId="0" ref="A30">
      <text>
        <t xml:space="preserve">======
ID#AAAAxshyoxc
Autor    (2023-05-25 02:19:43)
VERIFICAR QUANTIDADE</t>
      </text>
    </comment>
  </commentList>
  <extLst>
    <ext uri="GoogleSheetsCustomDataVersion2">
      <go:sheetsCustomData xmlns:go="http://customooxmlschemas.google.com/" r:id="rId1" roundtripDataSignature="AMtx7mhx8aHldacLNS8WqSM0FDzx+pJHtA=="/>
    </ext>
  </extLst>
</comments>
</file>

<file path=xl/sharedStrings.xml><?xml version="1.0" encoding="utf-8"?>
<sst xmlns="http://schemas.openxmlformats.org/spreadsheetml/2006/main" count="1306" uniqueCount="418">
  <si>
    <t>MEMÓRIA DE CÁLCULO</t>
  </si>
  <si>
    <t xml:space="preserve">OBRA: RAMPA DO BLOCO PRINCIPAL E PASSARELA DO BLOCO DE AUTOMAÇÃO </t>
  </si>
  <si>
    <t>1</t>
  </si>
  <si>
    <t>SERVIÇOS PRELIMINARES</t>
  </si>
  <si>
    <t>1.1</t>
  </si>
  <si>
    <t>CERCA/TAPUME PROTECAO DE OBRA EM COMPENSADO,REAPR.5 VEZES</t>
  </si>
  <si>
    <t>LOCAL</t>
  </si>
  <si>
    <t>QUANT (und)</t>
  </si>
  <si>
    <t>COMP.(m)</t>
  </si>
  <si>
    <t>LARGURA(m)</t>
  </si>
  <si>
    <t>ALTURA(m)</t>
  </si>
  <si>
    <t>ISOLAMENTO DA OBRA</t>
  </si>
  <si>
    <t>1.2</t>
  </si>
  <si>
    <t>DEMOLIÇÃO DE ALVENARIA DE BLOCO FURADO, DE FORMA MANUAL, SEM REAPROVEITAMENTO. AF_12/2017</t>
  </si>
  <si>
    <t>ÁREA (M2)</t>
  </si>
  <si>
    <t>VOLUME (m3)</t>
  </si>
  <si>
    <t xml:space="preserve">PASSARELA AUTOMAÇÃO </t>
  </si>
  <si>
    <t>ABERTURA</t>
  </si>
  <si>
    <t xml:space="preserve">VOLUME (M3) </t>
  </si>
  <si>
    <t>1.3</t>
  </si>
  <si>
    <t>Demolição de piso de alta resistência (REF 3240/ORSE)</t>
  </si>
  <si>
    <t xml:space="preserve">ÁREA (M²) </t>
  </si>
  <si>
    <t>DESCONTOS</t>
  </si>
  <si>
    <t xml:space="preserve">ÁREA DO PÁTIO </t>
  </si>
  <si>
    <t xml:space="preserve">CIRCULAÇÃO PROTOCOLO </t>
  </si>
  <si>
    <t xml:space="preserve">CIRCULAÇÃO DE ACESSO AO PÁTIO </t>
  </si>
  <si>
    <t>CIRCULAÇÃO ELETROTÉCNICA</t>
  </si>
  <si>
    <t>ÁREA TOTAL(M2)</t>
  </si>
  <si>
    <t>1.4</t>
  </si>
  <si>
    <t>LOCAÇÃO COM CAVALETE COM ALTURA DE 0,50 M - 2 UTILIZAÇÕES. AF_10/2018</t>
  </si>
  <si>
    <t>RAMPA/PASSARELA</t>
  </si>
  <si>
    <t>QUANTIDADE TOTAL(UND)</t>
  </si>
  <si>
    <t>1.5</t>
  </si>
  <si>
    <t>REMOÇÃO DE TELHAS, DE FIBROCIMENTO, METÁLICA E CERÂMICA, DE FORMA MANUAL, SEM REAPROVEITAMENTO. AF_12/2017</t>
  </si>
  <si>
    <t>PASSARELA BLOCO DE MECÂNICA</t>
  </si>
  <si>
    <t>1.6</t>
  </si>
  <si>
    <t>DEMOLIÇÃO DE PILARES E VIGAS EM CONCRETO ARMADO, DE FORMA MECANIZADA COM MARTELETE, SEM REAPROVEITAMENTO. AF_12/2017</t>
  </si>
  <si>
    <t xml:space="preserve">VOLUME (M³) </t>
  </si>
  <si>
    <t>VIGAS DA PASSARELA BLOCO DE MECÂNICA</t>
  </si>
  <si>
    <t>PILARES DA PASSARELA DO BLOCO DE MECÂNICA</t>
  </si>
  <si>
    <t>2</t>
  </si>
  <si>
    <t>SERVIÇOS EM TERRA</t>
  </si>
  <si>
    <t>2.1</t>
  </si>
  <si>
    <t>ESCAVAÇÃO MANUAL PARA BLOCO DE COROAMENTO OU SAPATA (INCLUINDO ESCAVAÇÃO PARA COLOCAÇÃO DE FÔRMAS). AF_06/2017</t>
  </si>
  <si>
    <t xml:space="preserve">COMPRIMENTO (M) </t>
  </si>
  <si>
    <t xml:space="preserve">SOLO CIMENT0 </t>
  </si>
  <si>
    <t>LASTRO</t>
  </si>
  <si>
    <t>S1/S2</t>
  </si>
  <si>
    <t>S3/S4</t>
  </si>
  <si>
    <t>S5/S6</t>
  </si>
  <si>
    <t>S7/S8</t>
  </si>
  <si>
    <t>S9/S22</t>
  </si>
  <si>
    <t>S10/S23</t>
  </si>
  <si>
    <t>S11/S20/S21/S22/S26/S27</t>
  </si>
  <si>
    <t>S12</t>
  </si>
  <si>
    <t>S13</t>
  </si>
  <si>
    <t>S14</t>
  </si>
  <si>
    <t>S15</t>
  </si>
  <si>
    <t>S16</t>
  </si>
  <si>
    <t>S17</t>
  </si>
  <si>
    <t>S18</t>
  </si>
  <si>
    <t>S19</t>
  </si>
  <si>
    <t>S24/S25</t>
  </si>
  <si>
    <t>S28/S29</t>
  </si>
  <si>
    <t>S30/S31</t>
  </si>
  <si>
    <t>2.2</t>
  </si>
  <si>
    <t>ESCAVAÇÃO MANUAL DE VALA PARA VIGA BALDRAME (INCLUINDO ESCAVAÇÃO PARA COLOCAÇÃO DE FÔRMAS). AF_06/2017</t>
  </si>
  <si>
    <t>VB5</t>
  </si>
  <si>
    <t>VB6</t>
  </si>
  <si>
    <t>VB14</t>
  </si>
  <si>
    <t>VB16</t>
  </si>
  <si>
    <t>2.3</t>
  </si>
  <si>
    <t>PREPARO DE FUNDO DE VALA COM LARGURA MENOR QUE 1,5 M (ACERTO DO SOLO NATURAL). AF_08/2020</t>
  </si>
  <si>
    <t>ÁREA TOTAL (M2)</t>
  </si>
  <si>
    <t>2.4</t>
  </si>
  <si>
    <t>REATERRO MANUAL DE VALAS COM COMPACTAÇÃO MECANIZADA. AF_04/2016</t>
  </si>
  <si>
    <t xml:space="preserve">DESCONTOS </t>
  </si>
  <si>
    <t xml:space="preserve">VOLUME DE ESCAVAÇÃO </t>
  </si>
  <si>
    <t>VOLUME ESCAVAÇÃO BALDRAMES</t>
  </si>
  <si>
    <t>,</t>
  </si>
  <si>
    <t>VOLUME DE CONCRETO SAPATAS</t>
  </si>
  <si>
    <t>VOUME CONCRETO BALDRAMES</t>
  </si>
  <si>
    <t>VOLUME DE SOLO-CIMENTO</t>
  </si>
  <si>
    <t>VOLUME DE CONCRETO MAGRO</t>
  </si>
  <si>
    <t>2.5</t>
  </si>
  <si>
    <t>ATERRO MANUAL DE VALAS COM SOLO ARGILO-ARENOSO E COMPACTAÇÃO MECANIZADA. AF_05/2016</t>
  </si>
  <si>
    <t xml:space="preserve">VOLUME M3) </t>
  </si>
  <si>
    <t>PÁTIO DA RAMPA</t>
  </si>
  <si>
    <t>3</t>
  </si>
  <si>
    <t>INFRAESTRUTURA</t>
  </si>
  <si>
    <t>3.1</t>
  </si>
  <si>
    <t>LASTRO DE CONCRETO MAGRO, APLICADO EM BLOCOS DE COROAMENTO OU SAPATAS, ESPESSURA DE 5 CM. AF_08/2017</t>
  </si>
  <si>
    <t xml:space="preserve">ÁREA (M2) </t>
  </si>
  <si>
    <t xml:space="preserve">ÁREA TOTAL (M2) </t>
  </si>
  <si>
    <t>3.2</t>
  </si>
  <si>
    <t>FABRICAÇÃO, MONTAGEM E DESMONTAGEM DE FÔRMA PARA SAPATA, EM MADEIRA SERRADA, E=25 MM, 4 UTILIZAÇÕES. AF_06/2017</t>
  </si>
  <si>
    <t>COMP. (m)</t>
  </si>
  <si>
    <t>S9; S10; S11; S12; S13; S14; S15; S16; S19; S20; S22; S23; S30</t>
  </si>
  <si>
    <t>S1; S2; S3; S4; S5; S7; S8; S24; S28</t>
  </si>
  <si>
    <t>ÁREA TOTAL (M²)</t>
  </si>
  <si>
    <t>3.4</t>
  </si>
  <si>
    <t>FABRICAÇÃO, MONTAGEM E DESMONTAGEM DE FÔRMA PARA VIGA BALDRAME, EM MADEIRA SERRADA, E=25 MM, 2 UTILIZAÇÕES. AF_06/2017</t>
  </si>
  <si>
    <t>VB1; VB2; VB3; VB4; VB7; VB8; VB14; VB15; VB16</t>
  </si>
  <si>
    <t>VB9; VB11; VB13; VB12; VB5; VB6; VB10</t>
  </si>
  <si>
    <t>3.5</t>
  </si>
  <si>
    <t>CONCRETAGEM DE SAPATAS, FCK 30 MPA, COM USO DE JERICA _x0096_ LANÇAMENTO, ADENSAMENTO E ACABAMENTO. AF_06/2017</t>
  </si>
  <si>
    <t>3.6</t>
  </si>
  <si>
    <t>ARMAÇÃO DE BLOCO, VIGA BALDRAME E SAPATA UTILIZANDO AÇO CA-60 DE 5 MM - MONTAGEM. AF_06/2017</t>
  </si>
  <si>
    <t xml:space="preserve">ALTURA (M) </t>
  </si>
  <si>
    <t xml:space="preserve">PESO LINEAR (KG/M) </t>
  </si>
  <si>
    <t xml:space="preserve">PESO (KG) </t>
  </si>
  <si>
    <t>PESO TOTAL (KG)</t>
  </si>
  <si>
    <t>3.7</t>
  </si>
  <si>
    <t>ARMAÇÃO DE BLOCO, VIGA BALDRAME OU SAPATA UTILIZANDO AÇO CA-50 DE 6,3 MM - MONTAGEM. AF_06/2017</t>
  </si>
  <si>
    <t>3.8</t>
  </si>
  <si>
    <t>ARMAÇÃO DE BLOCO, VIGA BALDRAME OU SAPATA UTILIZANDO AÇO CA-50 DE 8 MM - MONTAGEM. AF_06/2017</t>
  </si>
  <si>
    <t>3.9</t>
  </si>
  <si>
    <t>ARMAÇÃO DE BLOCO, VIGA BALDRAME OU SAPATA UTILIZANDO AÇO CA-50 DE 10 MM - MONTAGEM. AF_06/2017</t>
  </si>
  <si>
    <t>3.10</t>
  </si>
  <si>
    <t>ARMAÇÃO DE BLOCO, VIGA BALDRAME OU SAPATA UTILIZANDO AÇO CA-50 DE 12,5 MM - MONTAGEM. AF_06/2017</t>
  </si>
  <si>
    <t>3.11</t>
  </si>
  <si>
    <t>ARMAÇÃO DE BLOCO, VIGA BALDRAME OU SAPATA UTILIZANDO AÇO CA-50 DE 16 MM - MONTAGEM. AF_06/2017</t>
  </si>
  <si>
    <t>3.12</t>
  </si>
  <si>
    <t>ARMAÇÃO DE BLOCO, VIGA BALDRAME OU SAPATA UTILIZANDO AÇO CA-50 DE 20 MM - MONTAGEM. AF_06/2017</t>
  </si>
  <si>
    <t>3.13</t>
  </si>
  <si>
    <t>Solo-cimento compactado - Traço 1:20, inclusive cimento, arenoso comercial, compactação 95% do proctor (Ref.: 8267/ORSE)</t>
  </si>
  <si>
    <t>3.14</t>
  </si>
  <si>
    <t>Alvenaria em tijolo cerâmico 1 vez, assentado em argamassa traço 1:2:8 (cimento, cal e areia) (REF.: TCPO)</t>
  </si>
  <si>
    <t>QUANT. (UND)</t>
  </si>
  <si>
    <t xml:space="preserve">ACESSO AO PÁTIO </t>
  </si>
  <si>
    <t xml:space="preserve">ACESSO A AUTOMAÇÃO </t>
  </si>
  <si>
    <t xml:space="preserve">ACESSO AO PROTOCOLO </t>
  </si>
  <si>
    <t>PRAÇA</t>
  </si>
  <si>
    <t>PRIMEIRO LANCE RAMPA</t>
  </si>
  <si>
    <t>CONCRETAGEM DE BLOCOS DE COROAMENTO E VIGAS BALDRAME, FCK 30 MPA, COM USO DE JERICA _x0096_ LANÇAMENTO, ADENSAMENTO E ACABAMENTO. AF_06/2017</t>
  </si>
  <si>
    <t>4</t>
  </si>
  <si>
    <t>SUPERESTRUTURA</t>
  </si>
  <si>
    <t>4.1</t>
  </si>
  <si>
    <t>PILARES</t>
  </si>
  <si>
    <t>4.1.1</t>
  </si>
  <si>
    <t>MONTAGEM E DESMONTAGEM DE FÔRMA DE PILARES RETANGULARES E ESTRUTURAS SIMILARES, PÉ-DIREITO SIMPLES, EM CHAPA DE MADEIRA COMPENSADA RESINADA, 4 UTILIZAÇÕES. AF_09/2020</t>
  </si>
  <si>
    <t xml:space="preserve">QUANT.  </t>
  </si>
  <si>
    <t>ALTURA (m)</t>
  </si>
  <si>
    <t>P1 = P2= P3 = P4</t>
  </si>
  <si>
    <t>P30 = P31</t>
  </si>
  <si>
    <t>P20 = P21 = P26 = P27</t>
  </si>
  <si>
    <t>P2= P4 = P6 = P8 = P24 = P25 = P28 = P29</t>
  </si>
  <si>
    <t>4.1.2</t>
  </si>
  <si>
    <t>MONTAGEM E DESMONTAGEM DE FÔRMA DE PILARES CIRCULARES, COM ÁREA MÉDIA DAS SEÇÕES MENOR OU IGUAL A 0,28 M², PÉ-DIREITO SIMPLES, EM MADEIRA, 2 UTILIZAÇÕES. AF_06/2017</t>
  </si>
  <si>
    <t>P9 = P22 = P10 = P11 = P12</t>
  </si>
  <si>
    <t>P16 = P17 = P18 = P19</t>
  </si>
  <si>
    <t>P13 = P23 = P14 = P15</t>
  </si>
  <si>
    <t>4.1.3</t>
  </si>
  <si>
    <t>CONCRETAGEM DE PILARES, FCK = 30 MPA, COM USO DE BOMBA - LANÇAMENTO, ADENSAMENTO E ACABAMENTO. (REF.:103672/SINAPI)</t>
  </si>
  <si>
    <t>4.1.4</t>
  </si>
  <si>
    <t>ARMAÇÃO DE PILAR OU VIGA DE ESTRUTURA CONVENCIONAL DE CONCRETO ARMADO UTILIZANDO AÇO CA-60 DE 5,0 MM - MONTAGEM. AF_06/2022</t>
  </si>
  <si>
    <t>4.1.5</t>
  </si>
  <si>
    <t>ARMAÇÃO DE PILAR OU VIGA DE ESTRUTURA CONVENCIONAL DE CONCRETO ARMADO UTILIZANDO AÇO CA-50 DE 12,5 MM - MONTAGEM. AF_06/2022</t>
  </si>
  <si>
    <t>4.1.6</t>
  </si>
  <si>
    <t>ARMAÇÃO DE PILAR OU VIGA DE ESTRUTURA CONVENCIONAL DE CONCRETO ARMADO UTILIZANDO AÇO CA-50 DE 16,0 MM - MONTAGEM. AF_06/2022</t>
  </si>
  <si>
    <t>4.2</t>
  </si>
  <si>
    <t>VIGAS</t>
  </si>
  <si>
    <t>4.2.1</t>
  </si>
  <si>
    <t>MONTAGEM E DESMONTAGEM DE FÔRMA DE VIGA, ESCORAMENTO METÁLICO, PÉ-DIREITO SIMPLES, EM CHAPA DE MADEIRA RESINADA, 4 UTILIZAÇÕES. AF_09/2020</t>
  </si>
  <si>
    <t>VIGAS DO NÍVEL INTERMEDIÁRIO</t>
  </si>
  <si>
    <t>VIGAS DO 1º ANDAR</t>
  </si>
  <si>
    <t>VIGAS DA COBERTA</t>
  </si>
  <si>
    <t>VR2; VR1</t>
  </si>
  <si>
    <t>4.2.2</t>
  </si>
  <si>
    <t>CONCRETAGEM DE VIGAS E LAJES, FCK=30 MPA, PARA LAJES MACIÇAS OU NERVURADAS COM USO DE BOMBA - LANÇAMENTO, ADENSAMENTO E ACABAMENTO. (REF.: 103675/SINAPI)</t>
  </si>
  <si>
    <t>VOLUME (M3)</t>
  </si>
  <si>
    <t>VOLUME TOTAL (M3)</t>
  </si>
  <si>
    <t>4.2.3</t>
  </si>
  <si>
    <t xml:space="preserve">PESO TOTAL (KG) </t>
  </si>
  <si>
    <t>4.2.4</t>
  </si>
  <si>
    <t>ARMAÇÃO DE PILAR OU VIGA DE ESTRUTURA CONVENCIONAL DE CONCRETO ARMADO UTILIZANDO AÇO CA-50 DE 6,3 MM - MONTAGEM. AF_06/2022</t>
  </si>
  <si>
    <t>4.2.5</t>
  </si>
  <si>
    <t>ARMAÇÃO DE PILAR OU VIGA DE ESTRUTURA CONVENCIONAL DE CONCRETO ARMADO UTILIZANDO AÇO CA-50 DE 8,0 MM - MONTAGEM. AF_06/2022</t>
  </si>
  <si>
    <t>4.2.6</t>
  </si>
  <si>
    <t>ARMAÇÃO DE PILAR OU VIGA DE ESTRUTURA CONVENCIONAL DE CONCRETO ARMADO UTILIZANDO AÇO CA-50 DE 10,0 MM - MONTAGEM. AF_06/2022</t>
  </si>
  <si>
    <t>4.2.7</t>
  </si>
  <si>
    <t>4.2.8</t>
  </si>
  <si>
    <t>4.3</t>
  </si>
  <si>
    <t>LAJES</t>
  </si>
  <si>
    <t>4.3.1</t>
  </si>
  <si>
    <t>Laje pré-fabricada treliçada para piso ou cobertura, intereixo 38cm, h=17cm, el. enchimento em EPS h=12cm, inclusive escoramento em madeira, exclusive capeamento (REF. ORSE 7823/CPOS 13.05.084)</t>
  </si>
  <si>
    <t>1º PAVIMENTO</t>
  </si>
  <si>
    <t>COBERTA</t>
  </si>
  <si>
    <t>4.3.2</t>
  </si>
  <si>
    <t>Fornecimento e instalação de tela aço soldada nervurada CA-60, Q-138, malha 10x10cm, ferro 4.2 mm (2,20 kg/m2), painel 2,45x6,0m, Telcon ou similar. (REF.: 7291/ORSE)</t>
  </si>
  <si>
    <t>4.3.3</t>
  </si>
  <si>
    <t>ARMAÇÃO DE LAJE DE ESTRUTURA CONVENCIONAL DE CONCRETO ARMADO UTILIZANDO AÇO CA-50 DE 5,0 MM - MONTAGEM. AF_06/2022</t>
  </si>
  <si>
    <t>PESO</t>
  </si>
  <si>
    <t>LAJES DA RAMPA</t>
  </si>
  <si>
    <t>4.3.4</t>
  </si>
  <si>
    <t>ARMAÇÃO DE LAJE DE ESTRUTURA CONVENCIONAL DE CONCRETO ARMADO UTILIZANDO AÇO CA-50 DE 6,3 MM - MONTAGEM. AF_06/2022</t>
  </si>
  <si>
    <t>4.3.5</t>
  </si>
  <si>
    <t>ARMAÇÃO DE LAJE DE ESTRUTURA CONVENCIONAL DE CONCRETO ARMADO UTILIZANDO AÇO CA-50 DE 8,0 MM - MONTAGEM. AF_06/2022</t>
  </si>
  <si>
    <t>4.3.6</t>
  </si>
  <si>
    <t>ARMAÇÃO DE LAJE DE ESTRUTURA CONVENCIONAL DE CONCRETO ARMADO UTILIZANDO AÇO CA-50 DE 10,0 MM - MONTAGEM. AF_06/2022</t>
  </si>
  <si>
    <t>4.3.7</t>
  </si>
  <si>
    <t>CAPEAMENTO LAJES TRELIÇADAS</t>
  </si>
  <si>
    <t>4.3.8</t>
  </si>
  <si>
    <t>MONTAGEM E DESMONTAGEM DE FÔRMA DE LAJE MACIÇA, PÉ-DIREITO SIMPLES, EM CHAPA DE MADEIRA COMPENSADA RESINADA, 4 UTILIZAÇÕES. AF_09/2020</t>
  </si>
  <si>
    <t>4.4.</t>
  </si>
  <si>
    <t>VERGAS E CONTRAVERGAS</t>
  </si>
  <si>
    <t>4.4.1</t>
  </si>
  <si>
    <t>VERGA MOLDADA IN LOCO EM CONCRETO PARA PORTAS COM MAIS DE 1,5 M DE VÃO. AF_03/2016</t>
  </si>
  <si>
    <t xml:space="preserve">COMP. (M) </t>
  </si>
  <si>
    <t xml:space="preserve">ENTRADA AUTOMAÇÃO </t>
  </si>
  <si>
    <t>COMPRIMENTO TOTAL (M)</t>
  </si>
  <si>
    <t>CINTA DE AMARRAÇÃO DE ALVENARIA MOLDADA IN LOCO EM CONCRETO. AF_03/2016</t>
  </si>
  <si>
    <t>PASSARELA</t>
  </si>
  <si>
    <t>5</t>
  </si>
  <si>
    <t xml:space="preserve">IMPERMEABILIZAÇÃO </t>
  </si>
  <si>
    <t>5.1</t>
  </si>
  <si>
    <t>IMPERMEABILIZAÇÃO DE SUPERFÍCIE COM EMULSÃO ASFÁLTICA, 2 DEMÃOS AF_06/2018</t>
  </si>
  <si>
    <t>ALTURA DA SAPATA</t>
  </si>
  <si>
    <t>ÁREA DA BASE</t>
  </si>
  <si>
    <t>ÁREA DO TRONCO DA PIRÂMIDE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</si>
  <si>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</si>
  <si>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</si>
  <si>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</si>
  <si>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</si>
  <si>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</si>
  <si>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</si>
  <si>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</si>
  <si>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</si>
  <si>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</si>
  <si>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</si>
  <si>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</si>
  <si>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</si>
  <si>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</si>
  <si>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</si>
  <si>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</si>
  <si>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</si>
  <si>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</si>
  <si>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</si>
  <si>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</si>
  <si>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</si>
  <si>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</si>
  <si>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</si>
  <si>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</si>
  <si>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5.2</t>
  </si>
  <si>
    <t>Regularização de base para revest. de pisos com arg. traço t4, esp. média = 2,5cm (REF.: 2180/ORSE)</t>
  </si>
  <si>
    <t>CALHA PASSARELA</t>
  </si>
  <si>
    <t>IMPERMEABILIZAÇÃO DE SUPERFÍCIE COM MANTA ASFÁLTICA, UMA CAMADA, INCLUSIVE APLICAÇÃO DE PRIMER ASFÁLTICO, E=3MM. AF_06/2018</t>
  </si>
  <si>
    <t>PROTEÇÃO MECÂNICA DE SUPERFÍCIE HORIZONTAL COM ARGAMASSA DE CIMENTO E AREIA, TRAÇO 1:3, E=2CM. AF_06/2018</t>
  </si>
  <si>
    <t>6</t>
  </si>
  <si>
    <t>ALVENARIAS E FECHAMENTOS</t>
  </si>
  <si>
    <t>6.1</t>
  </si>
  <si>
    <t xml:space="preserve"> ALVENARIA DE VEDAÇÃO DE BLOCOS CERÂMICOS FURADOS NA HORIZONTAL DE 9X19X19 CM (ESPESSURA 9 CM) E ARGAMASSA DE ASSENTAMENTO COM PREPARO EM BETONEIRA. AF_12/2021 </t>
  </si>
  <si>
    <t>DESCONTO (m²)</t>
  </si>
  <si>
    <t>ÁREA LÍQ.(m2)</t>
  </si>
  <si>
    <t>Janela</t>
  </si>
  <si>
    <t>Porta</t>
  </si>
  <si>
    <t>Abertura</t>
  </si>
  <si>
    <t>PLATIBANDA</t>
  </si>
  <si>
    <t>PASSARELAS FACHADAS</t>
  </si>
  <si>
    <t>PASSARELA TERREO</t>
  </si>
  <si>
    <t>ÁREA TOTAL(m2)</t>
  </si>
  <si>
    <t>6.2</t>
  </si>
  <si>
    <t>FIXAÇÃO (ENCUNHAMENTO) DE ALVENARIA DE VEDAÇÃO COM ARGAMASSA APLICADA COM BISNAGA. AF_03/2016</t>
  </si>
  <si>
    <t>6.3</t>
  </si>
  <si>
    <t>ALVENARIA DE VEDAÇÃO COM ELEMENTO VAZADO DE CERÂMICA (COBOGÓ) DE 7X20X20CM E ARGAMASSA DE ASSENTAMENTO COM PREPARO EM BETONEIRA. AF_05/2020</t>
  </si>
  <si>
    <t>ACESSO PÁTIO</t>
  </si>
  <si>
    <t>7</t>
  </si>
  <si>
    <t>REVESTIMENTO</t>
  </si>
  <si>
    <t>7.1</t>
  </si>
  <si>
    <t>CHAPISCO APLICADO NO TETO OU EM ALVENARIA E ESTRUTURA, COM ROLO PARA TEXTURA ACRÍLICA. ARGAMASSA INDUSTRIALIZADA COM PREPARO MANUAL. AF_10/2022</t>
  </si>
  <si>
    <t>DESCONTOS(m2)</t>
  </si>
  <si>
    <t>PERÍMETRO(m)</t>
  </si>
  <si>
    <t xml:space="preserve">JANELA </t>
  </si>
  <si>
    <t>PORTA</t>
  </si>
  <si>
    <t>ÁREA(m2)</t>
  </si>
  <si>
    <t xml:space="preserve">LAJE TÉRREO </t>
  </si>
  <si>
    <t xml:space="preserve">LAJE PRIMEIRO PAVIMENTO </t>
  </si>
  <si>
    <t>FUNDO DA RAMPA</t>
  </si>
  <si>
    <t>7.2</t>
  </si>
  <si>
    <t>CHAPISCO APLICADO EM ALVENARIAS E ESTRUTURAS DE CONCRETO INTERNAS, COM COLHER DE PEDREIRO.  ARGAMASSA TRAÇO 1:3 COM PREPARO EM BETONEIRA 400L. AF_10/2022</t>
  </si>
  <si>
    <t xml:space="preserve">PASSARELA TÉRREO </t>
  </si>
  <si>
    <t>PASSARELA SUPERIOR</t>
  </si>
  <si>
    <t>7.3</t>
  </si>
  <si>
    <t>CHAPISCO APLICADO EM ALVENARIA (SEM PRESENÇA DE VÃOS) E ESTRUTURAS DE CONCRETO DE FACHADA, COM COLHER DE PEDREIRO.  ARGAMASSA TRAÇO 1:3 COM PREPARO EM BETONEIRA 400L. AF_06/2014</t>
  </si>
  <si>
    <t>FACHADA OESTE</t>
  </si>
  <si>
    <t>FACHADA SUL</t>
  </si>
  <si>
    <t>PILARES DA RAMPA</t>
  </si>
  <si>
    <t>VIGAS DA RAMPA</t>
  </si>
  <si>
    <t>LATERAL DA RAMPA</t>
  </si>
  <si>
    <t>7.4</t>
  </si>
  <si>
    <t>MASSA ÚNICA, PARA RECEBIMENTO DE PINTURA, EM ARGAMASSA TRAÇO 1:2:8, PREPARO MECÂNICO COM BETONEIRA 400L, APLICADA MANUALMENTE EM TETO, ESPESSURA DE 20MM, COM EXECUÇÃO DE TALISCAS. AF_03/2015</t>
  </si>
  <si>
    <t>7.5</t>
  </si>
  <si>
    <t>MASSA ÚNICA, PARA RECEBIMENTO DE PINTURA, EM ARGAMASSA TRAÇO 1:2:8, PREPARO MECÂNICO COM BETONEIRA 400L, APLICADA MANUALMENTE EM FACES INTERNAS DE PAREDES, ESPESSURA DE 20MM, COM EXECUÇÃO DE TALISCAS. AF_06/2014</t>
  </si>
  <si>
    <t>7.6</t>
  </si>
  <si>
    <t>EMBOÇO OU MASSA ÚNICA EM ARGAMASSA TRAÇO 1:2:8, PREPARO MECÂNICO COM BETONEIRA 400 L, APLICADA MANUALMENTE EM PANOS DE FACHADA COM PRESENÇA DE VÃOS, ESPESSURA DE 25 MM. AF_08/2022</t>
  </si>
  <si>
    <t>7.7</t>
  </si>
  <si>
    <t>Revestimento cerâmico para parede, 10 x 10 cm, Elizabeth, linha Vermelho Cristal, ou similar, aplicado com argamassa industrializada ac-iii, rejuntado, exclusive regularização de base ou emboço - Rev 04 (REF.: 7172/ORSE)</t>
  </si>
  <si>
    <t>PASSARELA CIRCULAÇÃO INTERNA</t>
  </si>
  <si>
    <t>FACHADA OESTE PASSARELA</t>
  </si>
  <si>
    <t>FACHADA LESTE PASSARELA</t>
  </si>
  <si>
    <t>7.8</t>
  </si>
  <si>
    <t>REVESTIMENTO DECORATIVO MONOCAMADA APLICADO MANUALMENTE EM PANOS DA FACHADA COM PRESENÇA DE VÃOS, DE UM EDIFÍCIO DE ESTRUTURA CONVENCIONAL E ACABAMENTO RASPADO. AF_06/2014</t>
  </si>
  <si>
    <t>FACHADA LESTE</t>
  </si>
  <si>
    <t>7.9</t>
  </si>
  <si>
    <t>7.10</t>
  </si>
  <si>
    <t>PEITORIL LINEAR EM GRANITO OU MÁRMORE, L = 15CM, COMPRIMENTO DE ATÉ 2M, ASSENTADO COM ARGAMASSA 1:6 COM ADITIVO. AF_11/2020</t>
  </si>
  <si>
    <t>ABERTURAS FACHADA OESTE</t>
  </si>
  <si>
    <t>ABERTURAS FACHADA LESTE</t>
  </si>
  <si>
    <t>ABERTURA FACHADA SUL</t>
  </si>
  <si>
    <t>8</t>
  </si>
  <si>
    <t>PINTURA</t>
  </si>
  <si>
    <t>8.1</t>
  </si>
  <si>
    <t>APLICAÇÃO DE FUNDO SELADOR ACRÍLICO EM TETO, UMA DEMÃO. AF_06/2014</t>
  </si>
  <si>
    <t>8.2</t>
  </si>
  <si>
    <t>APLICAÇÃO E LIXAMENTO DE MASSA LÁTEX EM TETO, DUAS DEMÃOS. AF_06/2014</t>
  </si>
  <si>
    <t>8.3</t>
  </si>
  <si>
    <t>8.4</t>
  </si>
  <si>
    <t>APLICAÇÃO DE FUNDO SELADOR ACRÍLICO EM PAREDES, UMA DEMÃO. AF_06/2014</t>
  </si>
  <si>
    <t>8.5</t>
  </si>
  <si>
    <t>APLICAÇÃO E LIXAMENTO DE MASSA LÁTEX EM PAREDES, DUAS DEMÃOS. AF_06/2014</t>
  </si>
  <si>
    <t>8.6</t>
  </si>
  <si>
    <t>APLICAÇÃO MANUAL DE PINTURA COM TINTA LÁTEX ACRÍLICA EM PAREDES, DUAS DEMÃOS. AF_06/2014</t>
  </si>
  <si>
    <t>9</t>
  </si>
  <si>
    <t>PISO E PAVIMENTAÇÃO</t>
  </si>
  <si>
    <t>9.1</t>
  </si>
  <si>
    <t>EXECUÇÃO DE PAVIMENTO EM PISO INTERTRAVADO, COM BLOCO RETANGULAR COR NATURAL DE 20 X 10 CM, ESPESSURA 6 CM. AF_10/2022</t>
  </si>
  <si>
    <t xml:space="preserve">DESCONTOS (M2) </t>
  </si>
  <si>
    <t>CANTEIROS</t>
  </si>
  <si>
    <t>9.2</t>
  </si>
  <si>
    <t>LASTRO DE CONCRETO MAGRO, APLICADO EM PISOS, LAJES SOBRE SOLO OU RADIERS, ESPESSURA DE 5 CM. AF_07/2016</t>
  </si>
  <si>
    <t>9.3</t>
  </si>
  <si>
    <t>CONTRAPISO EM ARGAMASSA TRAÇO 1:4 (CIMENTO E AREIA), PREPARO MECÂNICO COM BETONEIRA 400 L, APLICADO EM ÁREAS SECAS SOBRE LAJE, ADERIDO, ACABAMENTO NÃO REFORÇADO, ESPESSURA 3CM. AF_07/2021</t>
  </si>
  <si>
    <t>RAMPA</t>
  </si>
  <si>
    <t>PASSARELA PAVIMENTO SUPERIOR</t>
  </si>
  <si>
    <t>9.4</t>
  </si>
  <si>
    <t>PLANTIO DE GRAMA ESMERALDA OU SÃO CARLOS OU CURITIBANA, EM PLACAS. AF_05/2022</t>
  </si>
  <si>
    <t xml:space="preserve">CANTEIRO </t>
  </si>
  <si>
    <t>9.5</t>
  </si>
  <si>
    <t>PISO EM GRANILITE, MARMORITE OU GRANITINA EM AMBIENTES INTERNOS, COM ESPESSURA DE 8 MM, INCLUSO MISTURA EM BETONEIRA, COLOCAÇÃO DAS JUNTAS, APLICAÇÃO DO PISO, 4 POLIMENTOS COM POLITRIZ, ESTUCAMENTO, SELADOR E CERA. AF_06/2022</t>
  </si>
  <si>
    <t>PISO PODOTÁTIL DE ALERTA OU DIRECIONAL, DE BORRACHA, ASSENTADO SOBRE ARGAMASSA. AF_05/2020</t>
  </si>
  <si>
    <t xml:space="preserve">COMPRIMENTO TOTAL (M) </t>
  </si>
  <si>
    <t>10</t>
  </si>
  <si>
    <t>ESQUADRIAS, CORRIMÃOS E GUADA-CORPOS</t>
  </si>
  <si>
    <t>10.1</t>
  </si>
  <si>
    <t>Guarda-corpo com montantes flangeado em tubo inox ø=2" e com fechamento em tubo ø=2", 6 tubos horizontais de aço inox ø=1" a cada 10cm e corrimão duplo em aço inox ø=1 1/2" , com acabamento polido, h=1,20m, inclusive chumbador parabolt de 1/4" - conforme projeto arquitetônico (REF. ORSE 10622(</t>
  </si>
  <si>
    <t>Gradil em tubo de aço inox ø=1" a cada 10cm, com montantes flangeado em tubo inox ø=2" e com fechamento em tubo ø=2", com acabamento polido, h=1,20m, inclusive chumbador parabolt de 1/4"  (REF. ORSE 10622)</t>
  </si>
  <si>
    <t>ACESSO A PASSARELA</t>
  </si>
  <si>
    <t>11</t>
  </si>
  <si>
    <t>ÁGUAS PLUVIAIS</t>
  </si>
  <si>
    <t>11.1</t>
  </si>
  <si>
    <t>TUBO PVC, SÉRIE R, ÁGUA PLUVIAL, DN 100 MM, FORNECIDO E INSTALADO EM CONDUTORES VERTICAIS DE ÁGUAS PLUVIAIS. AF_06/2022</t>
  </si>
  <si>
    <t>11.2</t>
  </si>
  <si>
    <t>Ralo hemisférico em fº fº, tipo abacaxi Ø 100mm (REF.: 4283/ORSE)</t>
  </si>
  <si>
    <t xml:space="preserve">QUANTIDADE TOTAL </t>
  </si>
  <si>
    <t>TRATAMENTO DE RALO OU PONTO EMERGENTE COM ARGAMASSA POLIMÉRICA / MEMBRANA ACRÍLICA REFORÇADO COM VÉU DE POLIÉSTER (MAV). AF_06/2018</t>
  </si>
  <si>
    <t>12</t>
  </si>
  <si>
    <t>INSTALAÇÕES ELÉTRICAS</t>
  </si>
  <si>
    <t>13</t>
  </si>
  <si>
    <t>COBERTURAS E ESTRUTURA METÁLICA</t>
  </si>
  <si>
    <t>13.1</t>
  </si>
  <si>
    <t>TELHAMENTO COM TELHA ONDULADA DE FIBROCIMENTO E = 6 MM, COM RECOBRIMENTO LATERAL DE 1 1/4 DE ONDA PARA TELHADO COM INCLINAÇÃO MÁXIMA DE 10°, COM ATÉ 2 ÁGUAS, INCLUSO IÇAMENTO. AF_07/2019</t>
  </si>
  <si>
    <t>PASSARELA  COBERTA 1</t>
  </si>
  <si>
    <t>PASSARELA COBERTA 2</t>
  </si>
  <si>
    <t>13.2</t>
  </si>
  <si>
    <t>Telhamento com telha em aço galvalume, simples, onduladal, pré-pintada, OND17 - 0,65mm, Kingspan- Isoeste ou similar (REF. ORSE 12728)</t>
  </si>
  <si>
    <t>13.3</t>
  </si>
  <si>
    <t>Rufo de concreto armado fck=20mpa l=30cm e h=5cm. (REF.: 304/ORSE)</t>
  </si>
  <si>
    <t>COMPRIMENTO</t>
  </si>
  <si>
    <t>PASSERELA - COBERTA 1</t>
  </si>
  <si>
    <t>COMPRIMENTO TOTAL  (M)</t>
  </si>
  <si>
    <t>13.4</t>
  </si>
  <si>
    <t>Terça metálica, em perfil UDC127x50x5,13, p/ uso em coberturas de pórticos diversos vãos,  pintura 01 demão epoxi fundo óxido ferro + 02 demãos esmalte epoxi branco (REF. ORSE 12414)</t>
  </si>
  <si>
    <t xml:space="preserve">RAMPA </t>
  </si>
  <si>
    <t>13.5</t>
  </si>
  <si>
    <t>viga metálica, em perfil UDC75 x 38 x 2,65 mm (3,01 kg/m), para travamento de colunas ou apoio e alvenarias,  pintura 01 demão epoxi fundo óxido ferro + 02 demãos esmalte epoxi branco (REF. ORSE 12415)</t>
  </si>
  <si>
    <t>13.6</t>
  </si>
  <si>
    <t>Coluna metálica, em perfis UDC75x38x3,84, diagonais duplas, diversos usos ou composição de pórticos até 10,0m de vão, largura 0,50m, PDmax. 7,00 , pintura 01 demão de epoxi fundo óxido ferro + 02 demãos esmalte epoxi branco (REF. ORSE 12410)</t>
  </si>
  <si>
    <t>14</t>
  </si>
  <si>
    <t>FORRO</t>
  </si>
  <si>
    <t>14,1</t>
  </si>
  <si>
    <t>FORRO EM PLACAS DE GESSO, PARA AMBIENTES COMERCIAIS. AF_05/2017_PS</t>
  </si>
  <si>
    <t xml:space="preserve">TÉRREO </t>
  </si>
  <si>
    <t xml:space="preserve">PRIMEIRO PAVIMENTO </t>
  </si>
  <si>
    <t>15</t>
  </si>
  <si>
    <t>SERVIÇOS COMPLEMENTARES</t>
  </si>
  <si>
    <t>15.1</t>
  </si>
  <si>
    <t>TRANSPORTE HORIZONTAL COM CARREGADEIRA, DE MASSA/ GRANEL (UNIDADE: M3XKM). AF_07/2019</t>
  </si>
  <si>
    <t>VOLUME (M³)</t>
  </si>
  <si>
    <t>EMPOLAMENTO</t>
  </si>
  <si>
    <t>DMT</t>
  </si>
  <si>
    <t>VOLUME X KM (M3XKM)</t>
  </si>
  <si>
    <t>DEMOLIÇÃO DE ALVENARIAS</t>
  </si>
  <si>
    <t>DEMOLIÇÃO DO CONCRETO</t>
  </si>
  <si>
    <t xml:space="preserve">DEMOLIÇÃO DE PISO </t>
  </si>
  <si>
    <t>VOLUME X KM TOTA (M3XKM)</t>
  </si>
  <si>
    <t>15.2</t>
  </si>
  <si>
    <t>CARGA, MANOBRA E DESCARGA DE ENTULHO EM CAMINHÃO BASCULANTE 10 M³ - CARGA COM ESCAVADEIRA HIDRÁULICA  (CAÇAMBA DE 0,80 M³ / 111 HP) E DESCARGA LIVRE (UNIDADE: M3). AF_07/2020</t>
  </si>
  <si>
    <t>VOLUME TOTAL (M³)</t>
  </si>
  <si>
    <t>15.3</t>
  </si>
  <si>
    <t>TRANSPORTE COM CAMINHÃO BASCULANTE DE 6 M³, EM VIA URBANA PAVIMENTADA, DMT ATÉ 30 KM (UNIDADE: M3XKM). AF_07/2020</t>
  </si>
  <si>
    <t>15.4</t>
  </si>
  <si>
    <t>Descarte de resíduos da construção civil ma Unidade de Recebimento de Entulhos (Cotação)</t>
  </si>
  <si>
    <t>15.5</t>
  </si>
  <si>
    <t>LIMPEZA GERAL (REF.: 02450/ORSE)</t>
  </si>
  <si>
    <t>ÁREA DA REFORMA</t>
  </si>
  <si>
    <t>REVESTIMENTO/PINTURA DOS PILARES</t>
  </si>
  <si>
    <t>Pilares rampa</t>
  </si>
  <si>
    <t xml:space="preserve">RAIO </t>
  </si>
  <si>
    <t>CIRCUN</t>
  </si>
  <si>
    <t>ALTURA</t>
  </si>
  <si>
    <t>vigas rampa</t>
  </si>
  <si>
    <t>Número de vigas</t>
  </si>
  <si>
    <t>area pilares</t>
  </si>
  <si>
    <t>fundo de laje</t>
  </si>
  <si>
    <t>laje da rampa</t>
  </si>
  <si>
    <t>área</t>
  </si>
  <si>
    <t>comprimento</t>
  </si>
  <si>
    <t>esp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</si>
</sst>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3">
    <numFmt numFmtId="164" formatCode="0.000"/>
    <numFmt numFmtId="165" formatCode="0.0"/>
    <numFmt numFmtId="166" formatCode="0.0000"/>
  </numFmts>
  <fonts count="13">
    <font>
      <sz val="11.0"/>
      <color theme="1"/>
      <name val="Calibri"/>
      <scheme val="minor"/>
    </font>
    <font>
      <b/>
      <sz val="12.0"/>
      <color rgb="FF000000"/>
      <name val="Arial"/>
    </font>
    <font/>
    <font>
      <sz val="11.0"/>
      <color theme="1"/>
      <name val="Calibri"/>
    </font>
    <font>
      <b/>
      <sz val="11.0"/>
      <color rgb="FF000000"/>
      <name val="Calibri"/>
    </font>
    <font>
      <b/>
      <sz val="10.0"/>
      <color rgb="FF000000"/>
      <name val="Calibri"/>
    </font>
    <font>
      <b/>
      <sz val="10.0"/>
      <color theme="1"/>
      <name val="Calibri"/>
    </font>
    <font>
      <b/>
      <sz val="11.0"/>
      <color theme="1"/>
      <name val="Calibri"/>
    </font>
    <font>
      <sz val="11.0"/>
      <color rgb="FF000000"/>
      <name val="Calibri"/>
    </font>
    <font>
      <sz val="11.0"/>
      <color rgb="FF00B050"/>
      <name val="Calibri"/>
    </font>
    <font>
      <sz val="11.0"/>
      <color rgb="FFFF0000"/>
      <name val="Calibri"/>
    </font>
    <font>
      <b/>
      <sz val="11.0"/>
      <color rgb="FFFF0000"/>
      <name val="Calibri"/>
    </font>
    <font>
      <color theme="1"/>
      <name val="Calibri"/>
      <scheme val="minor"/>
    </font>
  </fonts>
  <fills count="5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00B0F0"/>
        <bgColor rgb="FF00B0F0"/>
      </patternFill>
    </fill>
    <fill>
      <patternFill patternType="solid">
        <fgColor rgb="FFFFFFFF"/>
        <bgColor rgb="FFFFFFFF"/>
      </patternFill>
    </fill>
  </fills>
  <borders count="41">
    <border/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/>
      <right/>
      <top/>
      <bottom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top style="medium">
        <color rgb="FF000000"/>
      </top>
      <bottom style="thin">
        <color rgb="FF000000"/>
      </bottom>
    </border>
    <border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/>
    </border>
    <border>
      <left/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 style="thin">
        <color rgb="FF000000"/>
      </left>
      <right style="medium">
        <color rgb="FF000000"/>
      </right>
      <top/>
      <bottom style="thin">
        <color rgb="FF000000"/>
      </bottom>
    </border>
    <border>
      <left style="medium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bottom style="thin">
        <color rgb="FF000000"/>
      </bottom>
    </border>
    <border>
      <right style="thin">
        <color rgb="FF000000"/>
      </right>
    </border>
    <border>
      <left style="thin">
        <color rgb="FF000000"/>
      </left>
      <right style="medium">
        <color rgb="FF000000"/>
      </right>
    </border>
    <border>
      <right style="thin">
        <color rgb="FF000000"/>
      </right>
      <top style="thin">
        <color rgb="FF000000"/>
      </top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bottom/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</border>
    <border>
      <left style="thin">
        <color rgb="FF000000"/>
      </left>
      <bottom style="thin">
        <color rgb="FF000000"/>
      </bottom>
    </border>
  </borders>
  <cellStyleXfs count="1">
    <xf borderId="0" fillId="0" fontId="0" numFmtId="0" applyAlignment="1" applyFont="1"/>
  </cellStyleXfs>
  <cellXfs count="200">
    <xf borderId="0" fillId="0" fontId="0" numFmtId="0" xfId="0" applyAlignment="1" applyFont="1">
      <alignment readingOrder="0" shrinkToFit="0" vertical="bottom" wrapText="0"/>
    </xf>
    <xf borderId="1" fillId="2" fontId="1" numFmtId="49" xfId="0" applyAlignment="1" applyBorder="1" applyFill="1" applyFont="1" applyNumberFormat="1">
      <alignment horizontal="center" shrinkToFit="0" vertical="center" wrapText="1"/>
    </xf>
    <xf borderId="2" fillId="0" fontId="2" numFmtId="0" xfId="0" applyBorder="1" applyFont="1"/>
    <xf borderId="3" fillId="0" fontId="2" numFmtId="0" xfId="0" applyBorder="1" applyFont="1"/>
    <xf borderId="0" fillId="0" fontId="3" numFmtId="2" xfId="0" applyAlignment="1" applyFont="1" applyNumberFormat="1">
      <alignment vertical="center"/>
    </xf>
    <xf borderId="0" fillId="0" fontId="3" numFmtId="2" xfId="0" applyFont="1" applyNumberFormat="1"/>
    <xf borderId="1" fillId="0" fontId="4" numFmtId="49" xfId="0" applyAlignment="1" applyBorder="1" applyFont="1" applyNumberFormat="1">
      <alignment vertical="center"/>
    </xf>
    <xf borderId="2" fillId="0" fontId="5" numFmtId="2" xfId="0" applyAlignment="1" applyBorder="1" applyFont="1" applyNumberFormat="1">
      <alignment horizontal="left" vertical="center"/>
    </xf>
    <xf borderId="2" fillId="0" fontId="5" numFmtId="2" xfId="0" applyAlignment="1" applyBorder="1" applyFont="1" applyNumberFormat="1">
      <alignment horizontal="center" vertical="center"/>
    </xf>
    <xf borderId="2" fillId="0" fontId="6" numFmtId="2" xfId="0" applyAlignment="1" applyBorder="1" applyFont="1" applyNumberFormat="1">
      <alignment horizontal="center" vertical="center"/>
    </xf>
    <xf borderId="2" fillId="0" fontId="5" numFmtId="164" xfId="0" applyAlignment="1" applyBorder="1" applyFont="1" applyNumberFormat="1">
      <alignment horizontal="center" vertical="center"/>
    </xf>
    <xf borderId="3" fillId="0" fontId="5" numFmtId="2" xfId="0" applyAlignment="1" applyBorder="1" applyFont="1" applyNumberFormat="1">
      <alignment horizontal="center" vertical="center"/>
    </xf>
    <xf borderId="0" fillId="0" fontId="7" numFmtId="49" xfId="0" applyAlignment="1" applyFont="1" applyNumberFormat="1">
      <alignment horizontal="center" vertical="center"/>
    </xf>
    <xf borderId="0" fillId="0" fontId="8" numFmtId="2" xfId="0" applyAlignment="1" applyFont="1" applyNumberFormat="1">
      <alignment horizontal="left" vertical="center"/>
    </xf>
    <xf borderId="0" fillId="0" fontId="8" numFmtId="2" xfId="0" applyAlignment="1" applyFont="1" applyNumberFormat="1">
      <alignment horizontal="center" vertical="center"/>
    </xf>
    <xf borderId="0" fillId="0" fontId="3" numFmtId="2" xfId="0" applyAlignment="1" applyFont="1" applyNumberFormat="1">
      <alignment horizontal="center" vertical="center"/>
    </xf>
    <xf borderId="0" fillId="0" fontId="3" numFmtId="164" xfId="0" applyAlignment="1" applyFont="1" applyNumberFormat="1">
      <alignment horizontal="center" vertical="center"/>
    </xf>
    <xf borderId="4" fillId="3" fontId="7" numFmtId="49" xfId="0" applyAlignment="1" applyBorder="1" applyFill="1" applyFont="1" applyNumberFormat="1">
      <alignment horizontal="center" vertical="center"/>
    </xf>
    <xf borderId="4" fillId="3" fontId="7" numFmtId="2" xfId="0" applyAlignment="1" applyBorder="1" applyFont="1" applyNumberFormat="1">
      <alignment horizontal="left" vertical="center"/>
    </xf>
    <xf borderId="0" fillId="0" fontId="7" numFmtId="49" xfId="0" applyAlignment="1" applyFont="1" applyNumberFormat="1">
      <alignment horizontal="center"/>
    </xf>
    <xf borderId="0" fillId="0" fontId="3" numFmtId="2" xfId="0" applyAlignment="1" applyFont="1" applyNumberFormat="1">
      <alignment horizontal="left" vertical="center"/>
    </xf>
    <xf borderId="0" fillId="0" fontId="7" numFmtId="2" xfId="0" applyAlignment="1" applyFont="1" applyNumberFormat="1">
      <alignment horizontal="left" readingOrder="0" vertical="center"/>
    </xf>
    <xf borderId="0" fillId="0" fontId="9" numFmtId="2" xfId="0" applyAlignment="1" applyFont="1" applyNumberFormat="1">
      <alignment vertical="center"/>
    </xf>
    <xf borderId="0" fillId="0" fontId="9" numFmtId="2" xfId="0" applyFont="1" applyNumberFormat="1"/>
    <xf borderId="5" fillId="0" fontId="3" numFmtId="2" xfId="0" applyAlignment="1" applyBorder="1" applyFont="1" applyNumberFormat="1">
      <alignment horizontal="left" vertical="center"/>
    </xf>
    <xf borderId="6" fillId="0" fontId="3" numFmtId="2" xfId="0" applyAlignment="1" applyBorder="1" applyFont="1" applyNumberFormat="1">
      <alignment horizontal="center" vertical="center"/>
    </xf>
    <xf borderId="7" fillId="0" fontId="3" numFmtId="164" xfId="0" applyAlignment="1" applyBorder="1" applyFont="1" applyNumberFormat="1">
      <alignment horizontal="center" shrinkToFit="0" vertical="center" wrapText="1"/>
    </xf>
    <xf borderId="8" fillId="0" fontId="3" numFmtId="2" xfId="0" applyAlignment="1" applyBorder="1" applyFont="1" applyNumberFormat="1">
      <alignment horizontal="center" vertical="center"/>
    </xf>
    <xf borderId="9" fillId="0" fontId="3" numFmtId="2" xfId="0" applyAlignment="1" applyBorder="1" applyFont="1" applyNumberFormat="1">
      <alignment horizontal="center" vertical="center"/>
    </xf>
    <xf borderId="0" fillId="0" fontId="9" numFmtId="2" xfId="0" applyAlignment="1" applyFont="1" applyNumberFormat="1">
      <alignment horizontal="center" vertical="center"/>
    </xf>
    <xf borderId="0" fillId="0" fontId="9" numFmtId="2" xfId="0" applyAlignment="1" applyFont="1" applyNumberFormat="1">
      <alignment horizontal="center"/>
    </xf>
    <xf borderId="10" fillId="2" fontId="3" numFmtId="2" xfId="0" applyAlignment="1" applyBorder="1" applyFont="1" applyNumberFormat="1">
      <alignment horizontal="left" vertical="center"/>
    </xf>
    <xf borderId="11" fillId="2" fontId="3" numFmtId="2" xfId="0" applyAlignment="1" applyBorder="1" applyFont="1" applyNumberFormat="1">
      <alignment horizontal="center" vertical="center"/>
    </xf>
    <xf borderId="12" fillId="0" fontId="3" numFmtId="2" xfId="0" applyAlignment="1" applyBorder="1" applyFont="1" applyNumberFormat="1">
      <alignment horizontal="center" vertical="center"/>
    </xf>
    <xf borderId="13" fillId="2" fontId="3" numFmtId="2" xfId="0" applyAlignment="1" applyBorder="1" applyFont="1" applyNumberFormat="1">
      <alignment horizontal="center" vertical="center"/>
    </xf>
    <xf borderId="13" fillId="2" fontId="3" numFmtId="164" xfId="0" applyAlignment="1" applyBorder="1" applyFont="1" applyNumberFormat="1">
      <alignment horizontal="center" shrinkToFit="0" vertical="center" wrapText="1"/>
    </xf>
    <xf borderId="14" fillId="2" fontId="3" numFmtId="2" xfId="0" applyAlignment="1" applyBorder="1" applyFont="1" applyNumberFormat="1">
      <alignment horizontal="center" vertical="center"/>
    </xf>
    <xf borderId="15" fillId="2" fontId="3" numFmtId="2" xfId="0" applyAlignment="1" applyBorder="1" applyFont="1" applyNumberFormat="1">
      <alignment horizontal="center" vertical="center"/>
    </xf>
    <xf borderId="16" fillId="0" fontId="7" numFmtId="2" xfId="0" applyAlignment="1" applyBorder="1" applyFont="1" applyNumberFormat="1">
      <alignment horizontal="right" vertical="center"/>
    </xf>
    <xf borderId="17" fillId="0" fontId="2" numFmtId="0" xfId="0" applyBorder="1" applyFont="1"/>
    <xf borderId="18" fillId="0" fontId="2" numFmtId="0" xfId="0" applyBorder="1" applyFont="1"/>
    <xf borderId="19" fillId="0" fontId="7" numFmtId="2" xfId="0" applyAlignment="1" applyBorder="1" applyFont="1" applyNumberFormat="1">
      <alignment horizontal="center" vertical="center"/>
    </xf>
    <xf borderId="0" fillId="0" fontId="7" numFmtId="2" xfId="0" applyAlignment="1" applyFont="1" applyNumberFormat="1">
      <alignment horizontal="left" shrinkToFit="0" vertical="center" wrapText="1"/>
    </xf>
    <xf borderId="7" fillId="0" fontId="3" numFmtId="2" xfId="0" applyAlignment="1" applyBorder="1" applyFont="1" applyNumberFormat="1">
      <alignment horizontal="center" vertical="center"/>
    </xf>
    <xf borderId="20" fillId="0" fontId="3" numFmtId="2" xfId="0" applyAlignment="1" applyBorder="1" applyFont="1" applyNumberFormat="1">
      <alignment horizontal="center" vertical="center"/>
    </xf>
    <xf borderId="21" fillId="0" fontId="3" numFmtId="2" xfId="0" applyAlignment="1" applyBorder="1" applyFont="1" applyNumberFormat="1">
      <alignment horizontal="left" vertical="center"/>
    </xf>
    <xf borderId="12" fillId="0" fontId="3" numFmtId="164" xfId="0" applyAlignment="1" applyBorder="1" applyFont="1" applyNumberFormat="1">
      <alignment horizontal="center" shrinkToFit="0" vertical="center" wrapText="1"/>
    </xf>
    <xf borderId="22" fillId="0" fontId="3" numFmtId="2" xfId="0" applyAlignment="1" applyBorder="1" applyFont="1" applyNumberFormat="1">
      <alignment horizontal="center" vertical="center"/>
    </xf>
    <xf borderId="23" fillId="0" fontId="3" numFmtId="2" xfId="0" applyAlignment="1" applyBorder="1" applyFont="1" applyNumberFormat="1">
      <alignment vertical="center"/>
    </xf>
    <xf borderId="0" fillId="0" fontId="7" numFmtId="2" xfId="0" applyAlignment="1" applyFont="1" applyNumberFormat="1">
      <alignment horizontal="left" readingOrder="0" shrinkToFit="0" vertical="center" wrapText="1"/>
    </xf>
    <xf borderId="7" fillId="0" fontId="3" numFmtId="2" xfId="0" applyAlignment="1" applyBorder="1" applyFont="1" applyNumberFormat="1">
      <alignment horizontal="center" shrinkToFit="0" vertical="center" wrapText="1"/>
    </xf>
    <xf borderId="24" fillId="0" fontId="3" numFmtId="2" xfId="0" applyAlignment="1" applyBorder="1" applyFont="1" applyNumberFormat="1">
      <alignment horizontal="left" vertical="center"/>
    </xf>
    <xf borderId="25" fillId="0" fontId="3" numFmtId="2" xfId="0" applyAlignment="1" applyBorder="1" applyFont="1" applyNumberFormat="1">
      <alignment horizontal="center" vertical="center"/>
    </xf>
    <xf borderId="26" fillId="0" fontId="3" numFmtId="164" xfId="0" applyAlignment="1" applyBorder="1" applyFont="1" applyNumberFormat="1">
      <alignment horizontal="center" shrinkToFit="0" vertical="center" wrapText="1"/>
    </xf>
    <xf borderId="27" fillId="0" fontId="3" numFmtId="2" xfId="0" applyAlignment="1" applyBorder="1" applyFont="1" applyNumberFormat="1">
      <alignment horizontal="center" vertical="center"/>
    </xf>
    <xf borderId="28" fillId="0" fontId="3" numFmtId="2" xfId="0" applyAlignment="1" applyBorder="1" applyFont="1" applyNumberFormat="1">
      <alignment horizontal="center" shrinkToFit="0" vertical="center" wrapText="1"/>
    </xf>
    <xf borderId="0" fillId="0" fontId="7" numFmtId="2" xfId="0" applyAlignment="1" applyFont="1" applyNumberFormat="1">
      <alignment horizontal="left" vertical="center"/>
    </xf>
    <xf borderId="10" fillId="2" fontId="3" numFmtId="2" xfId="0" applyAlignment="1" applyBorder="1" applyFont="1" applyNumberFormat="1">
      <alignment horizontal="left" readingOrder="0" vertical="center"/>
    </xf>
    <xf borderId="4" fillId="3" fontId="7" numFmtId="49" xfId="0" applyAlignment="1" applyBorder="1" applyFont="1" applyNumberFormat="1">
      <alignment horizontal="center" readingOrder="0" vertical="center"/>
    </xf>
    <xf borderId="7" fillId="0" fontId="3" numFmtId="2" xfId="0" applyAlignment="1" applyBorder="1" applyFont="1" applyNumberFormat="1">
      <alignment horizontal="center" readingOrder="0" shrinkToFit="0" vertical="center" wrapText="1"/>
    </xf>
    <xf borderId="25" fillId="0" fontId="3" numFmtId="2" xfId="0" applyAlignment="1" applyBorder="1" applyFont="1" applyNumberFormat="1">
      <alignment horizontal="center" readingOrder="0" vertical="center"/>
    </xf>
    <xf borderId="23" fillId="2" fontId="3" numFmtId="2" xfId="0" applyAlignment="1" applyBorder="1" applyFont="1" applyNumberFormat="1">
      <alignment horizontal="left" readingOrder="0" vertical="center"/>
    </xf>
    <xf borderId="29" fillId="0" fontId="3" numFmtId="2" xfId="0" applyAlignment="1" applyBorder="1" applyFont="1" applyNumberFormat="1">
      <alignment horizontal="center" readingOrder="0" vertical="center"/>
    </xf>
    <xf borderId="29" fillId="0" fontId="3" numFmtId="2" xfId="0" applyAlignment="1" applyBorder="1" applyFont="1" applyNumberFormat="1">
      <alignment horizontal="center" vertical="center"/>
    </xf>
    <xf borderId="29" fillId="0" fontId="3" numFmtId="164" xfId="0" applyAlignment="1" applyBorder="1" applyFont="1" applyNumberFormat="1">
      <alignment horizontal="center" shrinkToFit="0" vertical="center" wrapText="1"/>
    </xf>
    <xf borderId="30" fillId="2" fontId="3" numFmtId="2" xfId="0" applyAlignment="1" applyBorder="1" applyFont="1" applyNumberFormat="1">
      <alignment horizontal="center" vertical="center"/>
    </xf>
    <xf borderId="0" fillId="0" fontId="10" numFmtId="2" xfId="0" applyAlignment="1" applyFont="1" applyNumberFormat="1">
      <alignment horizontal="center" vertical="center"/>
    </xf>
    <xf borderId="0" fillId="0" fontId="10" numFmtId="2" xfId="0" applyAlignment="1" applyFont="1" applyNumberFormat="1">
      <alignment horizontal="left" vertical="center"/>
    </xf>
    <xf borderId="0" fillId="0" fontId="7" numFmtId="2" xfId="0" applyAlignment="1" applyFont="1" applyNumberFormat="1">
      <alignment horizontal="center" shrinkToFit="0" vertical="center" wrapText="1"/>
    </xf>
    <xf borderId="0" fillId="0" fontId="7" numFmtId="164" xfId="0" applyAlignment="1" applyFont="1" applyNumberFormat="1">
      <alignment horizontal="left" shrinkToFit="0" vertical="center" wrapText="1"/>
    </xf>
    <xf borderId="25" fillId="0" fontId="3" numFmtId="164" xfId="0" applyAlignment="1" applyBorder="1" applyFont="1" applyNumberFormat="1">
      <alignment horizontal="center" shrinkToFit="0" vertical="center" wrapText="1"/>
    </xf>
    <xf borderId="26" fillId="0" fontId="3" numFmtId="2" xfId="0" applyAlignment="1" applyBorder="1" applyFont="1" applyNumberFormat="1">
      <alignment horizontal="center" vertical="center"/>
    </xf>
    <xf borderId="0" fillId="0" fontId="8" numFmtId="2" xfId="0" applyAlignment="1" applyFont="1" applyNumberFormat="1">
      <alignment horizontal="center" readingOrder="0" shrinkToFit="0" wrapText="0"/>
    </xf>
    <xf borderId="21" fillId="0" fontId="3" numFmtId="0" xfId="0" applyAlignment="1" applyBorder="1" applyFont="1">
      <alignment horizontal="left"/>
    </xf>
    <xf borderId="12" fillId="0" fontId="3" numFmtId="0" xfId="0" applyAlignment="1" applyBorder="1" applyFont="1">
      <alignment horizontal="center" vertical="center"/>
    </xf>
    <xf borderId="25" fillId="0" fontId="3" numFmtId="164" xfId="0" applyAlignment="1" applyBorder="1" applyFont="1" applyNumberFormat="1">
      <alignment horizontal="center" vertical="center"/>
    </xf>
    <xf borderId="26" fillId="0" fontId="3" numFmtId="2" xfId="0" applyAlignment="1" applyBorder="1" applyFont="1" applyNumberFormat="1">
      <alignment horizontal="center" shrinkToFit="0" vertical="center" wrapText="1"/>
    </xf>
    <xf borderId="26" fillId="0" fontId="3" numFmtId="2" xfId="0" applyAlignment="1" applyBorder="1" applyFont="1" applyNumberFormat="1">
      <alignment horizontal="center" readingOrder="0" shrinkToFit="0" wrapText="0"/>
    </xf>
    <xf borderId="0" fillId="0" fontId="3" numFmtId="2" xfId="0" applyAlignment="1" applyFont="1" applyNumberFormat="1">
      <alignment horizontal="center"/>
    </xf>
    <xf borderId="26" fillId="0" fontId="3" numFmtId="2" xfId="0" applyAlignment="1" applyBorder="1" applyFont="1" applyNumberFormat="1">
      <alignment horizontal="center" readingOrder="0" vertical="center"/>
    </xf>
    <xf borderId="28" fillId="0" fontId="3" numFmtId="2" xfId="0" applyAlignment="1" applyBorder="1" applyFont="1" applyNumberFormat="1">
      <alignment horizontal="center" vertical="center"/>
    </xf>
    <xf borderId="9" fillId="0" fontId="3" numFmtId="2" xfId="0" applyAlignment="1" applyBorder="1" applyFont="1" applyNumberFormat="1">
      <alignment horizontal="center" readingOrder="0" vertical="center"/>
    </xf>
    <xf borderId="16" fillId="0" fontId="7" numFmtId="2" xfId="0" applyAlignment="1" applyBorder="1" applyFont="1" applyNumberFormat="1">
      <alignment horizontal="right" readingOrder="0" vertical="center"/>
    </xf>
    <xf borderId="21" fillId="0" fontId="3" numFmtId="0" xfId="0" applyAlignment="1" applyBorder="1" applyFont="1">
      <alignment horizontal="left" readingOrder="0"/>
    </xf>
    <xf borderId="6" fillId="0" fontId="3" numFmtId="164" xfId="0" applyAlignment="1" applyBorder="1" applyFont="1" applyNumberFormat="1">
      <alignment horizontal="center" vertical="center"/>
    </xf>
    <xf borderId="20" fillId="0" fontId="3" numFmtId="2" xfId="0" applyAlignment="1" applyBorder="1" applyFont="1" applyNumberFormat="1">
      <alignment horizontal="center" shrinkToFit="0" vertical="center" wrapText="1"/>
    </xf>
    <xf borderId="24" fillId="0" fontId="3" numFmtId="2" xfId="0" applyAlignment="1" applyBorder="1" applyFont="1" applyNumberFormat="1">
      <alignment horizontal="left" readingOrder="0" vertical="center"/>
    </xf>
    <xf borderId="13" fillId="2" fontId="3" numFmtId="2" xfId="0" applyAlignment="1" applyBorder="1" applyFont="1" applyNumberFormat="1">
      <alignment horizontal="center" shrinkToFit="0" vertical="center" wrapText="1"/>
    </xf>
    <xf borderId="0" fillId="0" fontId="7" numFmtId="2" xfId="0" applyAlignment="1" applyFont="1" applyNumberFormat="1">
      <alignment horizontal="left" vertical="top"/>
    </xf>
    <xf borderId="0" fillId="0" fontId="7" numFmtId="0" xfId="0" applyAlignment="1" applyFont="1">
      <alignment horizontal="center" vertical="center"/>
    </xf>
    <xf borderId="0" fillId="0" fontId="7" numFmtId="2" xfId="0" applyAlignment="1" applyFont="1" applyNumberFormat="1">
      <alignment horizontal="center" vertical="center"/>
    </xf>
    <xf borderId="0" fillId="0" fontId="7" numFmtId="164" xfId="0" applyAlignment="1" applyFont="1" applyNumberFormat="1">
      <alignment horizontal="center" vertical="center"/>
    </xf>
    <xf borderId="22" fillId="2" fontId="3" numFmtId="2" xfId="0" applyAlignment="1" applyBorder="1" applyFont="1" applyNumberFormat="1">
      <alignment horizontal="center" vertical="center"/>
    </xf>
    <xf borderId="12" fillId="2" fontId="3" numFmtId="2" xfId="0" applyAlignment="1" applyBorder="1" applyFont="1" applyNumberFormat="1">
      <alignment horizontal="center" vertical="center"/>
    </xf>
    <xf borderId="6" fillId="0" fontId="3" numFmtId="164" xfId="0" applyAlignment="1" applyBorder="1" applyFont="1" applyNumberFormat="1">
      <alignment horizontal="center" readingOrder="0" vertical="center"/>
    </xf>
    <xf borderId="13" fillId="2" fontId="3" numFmtId="164" xfId="0" applyAlignment="1" applyBorder="1" applyFont="1" applyNumberFormat="1">
      <alignment horizontal="center" readingOrder="0" shrinkToFit="0" vertical="center" wrapText="1"/>
    </xf>
    <xf borderId="31" fillId="0" fontId="7" numFmtId="2" xfId="0" applyAlignment="1" applyBorder="1" applyFont="1" applyNumberFormat="1">
      <alignment horizontal="right" vertical="center"/>
    </xf>
    <xf borderId="29" fillId="0" fontId="7" numFmtId="2" xfId="0" applyAlignment="1" applyBorder="1" applyFont="1" applyNumberFormat="1">
      <alignment horizontal="right" vertical="center"/>
    </xf>
    <xf borderId="0" fillId="0" fontId="7" numFmtId="2" xfId="0" applyAlignment="1" applyFont="1" applyNumberFormat="1">
      <alignment horizontal="right" vertical="center"/>
    </xf>
    <xf borderId="31" fillId="2" fontId="3" numFmtId="2" xfId="0" applyAlignment="1" applyBorder="1" applyFont="1" applyNumberFormat="1">
      <alignment horizontal="center" vertical="center"/>
    </xf>
    <xf borderId="29" fillId="2" fontId="3" numFmtId="2" xfId="0" applyAlignment="1" applyBorder="1" applyFont="1" applyNumberFormat="1">
      <alignment horizontal="center" vertical="center"/>
    </xf>
    <xf borderId="0" fillId="2" fontId="3" numFmtId="2" xfId="0" applyAlignment="1" applyFont="1" applyNumberFormat="1">
      <alignment horizontal="center" vertical="center"/>
    </xf>
    <xf borderId="25" fillId="2" fontId="3" numFmtId="2" xfId="0" applyAlignment="1" applyBorder="1" applyFont="1" applyNumberFormat="1">
      <alignment horizontal="center" vertical="center"/>
    </xf>
    <xf borderId="26" fillId="2" fontId="3" numFmtId="2" xfId="0" applyAlignment="1" applyBorder="1" applyFont="1" applyNumberFormat="1">
      <alignment horizontal="center" vertical="center"/>
    </xf>
    <xf borderId="26" fillId="2" fontId="3" numFmtId="164" xfId="0" applyAlignment="1" applyBorder="1" applyFont="1" applyNumberFormat="1">
      <alignment horizontal="center" readingOrder="0" shrinkToFit="0" vertical="center" wrapText="1"/>
    </xf>
    <xf borderId="27" fillId="2" fontId="3" numFmtId="2" xfId="0" applyAlignment="1" applyBorder="1" applyFont="1" applyNumberFormat="1">
      <alignment horizontal="center" vertical="center"/>
    </xf>
    <xf borderId="28" fillId="2" fontId="3" numFmtId="2" xfId="0" applyAlignment="1" applyBorder="1" applyFont="1" applyNumberFormat="1">
      <alignment horizontal="center" vertical="center"/>
    </xf>
    <xf borderId="29" fillId="2" fontId="3" numFmtId="164" xfId="0" applyAlignment="1" applyBorder="1" applyFont="1" applyNumberFormat="1">
      <alignment horizontal="center" readingOrder="0" shrinkToFit="0" vertical="center" wrapText="1"/>
    </xf>
    <xf borderId="32" fillId="0" fontId="3" numFmtId="2" xfId="0" applyAlignment="1" applyBorder="1" applyFont="1" applyNumberFormat="1">
      <alignment horizontal="center" vertical="center"/>
    </xf>
    <xf borderId="7" fillId="0" fontId="3" numFmtId="164" xfId="0" applyAlignment="1" applyBorder="1" applyFont="1" applyNumberFormat="1">
      <alignment horizontal="center" vertical="center"/>
    </xf>
    <xf borderId="13" fillId="2" fontId="3" numFmtId="164" xfId="0" applyAlignment="1" applyBorder="1" applyFont="1" applyNumberFormat="1">
      <alignment horizontal="center" vertical="center"/>
    </xf>
    <xf borderId="12" fillId="2" fontId="3" numFmtId="2" xfId="0" applyAlignment="1" applyBorder="1" applyFont="1" applyNumberFormat="1">
      <alignment horizontal="center" readingOrder="0" vertical="center"/>
    </xf>
    <xf borderId="28" fillId="0" fontId="3" numFmtId="2" xfId="0" applyAlignment="1" applyBorder="1" applyFont="1" applyNumberFormat="1">
      <alignment horizontal="center" readingOrder="0" shrinkToFit="0" vertical="center" wrapText="1"/>
    </xf>
    <xf borderId="6" fillId="0" fontId="3" numFmtId="2" xfId="0" applyAlignment="1" applyBorder="1" applyFont="1" applyNumberFormat="1">
      <alignment horizontal="center" readingOrder="0" vertical="center"/>
    </xf>
    <xf borderId="7" fillId="0" fontId="3" numFmtId="2" xfId="0" applyAlignment="1" applyBorder="1" applyFont="1" applyNumberFormat="1">
      <alignment horizontal="center" readingOrder="0" vertical="center"/>
    </xf>
    <xf borderId="33" fillId="0" fontId="2" numFmtId="0" xfId="0" applyBorder="1" applyFont="1"/>
    <xf borderId="13" fillId="2" fontId="3" numFmtId="2" xfId="0" applyAlignment="1" applyBorder="1" applyFont="1" applyNumberFormat="1">
      <alignment horizontal="center" readingOrder="0" vertical="center"/>
    </xf>
    <xf borderId="29" fillId="0" fontId="7" numFmtId="164" xfId="0" applyAlignment="1" applyBorder="1" applyFont="1" applyNumberFormat="1">
      <alignment horizontal="right" vertical="center"/>
    </xf>
    <xf borderId="22" fillId="2" fontId="3" numFmtId="2" xfId="0" applyAlignment="1" applyBorder="1" applyFont="1" applyNumberFormat="1">
      <alignment horizontal="center" readingOrder="0" vertical="center"/>
    </xf>
    <xf borderId="0" fillId="0" fontId="3" numFmtId="2" xfId="0" applyAlignment="1" applyFont="1" applyNumberFormat="1">
      <alignment readingOrder="0" vertical="center"/>
    </xf>
    <xf borderId="0" fillId="0" fontId="3" numFmtId="2" xfId="0" applyAlignment="1" applyFont="1" applyNumberFormat="1">
      <alignment readingOrder="0"/>
    </xf>
    <xf borderId="25" fillId="0" fontId="3" numFmtId="2" xfId="0" applyAlignment="1" applyBorder="1" applyFont="1" applyNumberFormat="1">
      <alignment horizontal="center" shrinkToFit="0" vertical="center" wrapText="1"/>
    </xf>
    <xf borderId="0" fillId="0" fontId="9" numFmtId="2" xfId="0" applyAlignment="1" applyFont="1" applyNumberFormat="1">
      <alignment horizontal="center" readingOrder="0" vertical="center"/>
    </xf>
    <xf borderId="23" fillId="2" fontId="3" numFmtId="2" xfId="0" applyAlignment="1" applyBorder="1" applyFont="1" applyNumberFormat="1">
      <alignment horizontal="left" vertical="center"/>
    </xf>
    <xf borderId="12" fillId="2" fontId="3" numFmtId="2" xfId="0" applyAlignment="1" applyBorder="1" applyFont="1" applyNumberFormat="1">
      <alignment horizontal="left" vertical="center"/>
    </xf>
    <xf borderId="23" fillId="0" fontId="3" numFmtId="2" xfId="0" applyAlignment="1" applyBorder="1" applyFont="1" applyNumberFormat="1">
      <alignment horizontal="left" readingOrder="0" vertical="center"/>
    </xf>
    <xf borderId="34" fillId="0" fontId="3" numFmtId="2" xfId="0" applyAlignment="1" applyBorder="1" applyFont="1" applyNumberFormat="1">
      <alignment horizontal="center" readingOrder="0" vertical="center"/>
    </xf>
    <xf borderId="31" fillId="0" fontId="3" numFmtId="2" xfId="0" applyAlignment="1" applyBorder="1" applyFont="1" applyNumberFormat="1">
      <alignment horizontal="right" vertical="center"/>
    </xf>
    <xf borderId="29" fillId="0" fontId="3" numFmtId="2" xfId="0" applyAlignment="1" applyBorder="1" applyFont="1" applyNumberFormat="1">
      <alignment horizontal="right" vertical="center"/>
    </xf>
    <xf borderId="0" fillId="0" fontId="3" numFmtId="2" xfId="0" applyAlignment="1" applyFont="1" applyNumberFormat="1">
      <alignment horizontal="right" vertical="center"/>
    </xf>
    <xf borderId="20" fillId="0" fontId="3" numFmtId="2" xfId="0" applyAlignment="1" applyBorder="1" applyFont="1" applyNumberFormat="1">
      <alignment horizontal="center" readingOrder="0" shrinkToFit="0" vertical="center" wrapText="1"/>
    </xf>
    <xf borderId="21" fillId="4" fontId="3" numFmtId="2" xfId="0" applyBorder="1" applyFill="1" applyFont="1" applyNumberFormat="1"/>
    <xf borderId="26" fillId="0" fontId="3" numFmtId="164" xfId="0" applyAlignment="1" applyBorder="1" applyFont="1" applyNumberFormat="1">
      <alignment horizontal="center" readingOrder="0" shrinkToFit="0" vertical="center" wrapText="1"/>
    </xf>
    <xf borderId="24" fillId="4" fontId="3" numFmtId="2" xfId="0" applyBorder="1" applyFont="1" applyNumberFormat="1"/>
    <xf borderId="25" fillId="2" fontId="3" numFmtId="2" xfId="0" applyAlignment="1" applyBorder="1" applyFont="1" applyNumberFormat="1">
      <alignment horizontal="center" readingOrder="0" vertical="center"/>
    </xf>
    <xf borderId="0" fillId="0" fontId="7" numFmtId="2" xfId="0" applyAlignment="1" applyFont="1" applyNumberFormat="1">
      <alignment horizontal="left" readingOrder="0" vertical="top"/>
    </xf>
    <xf borderId="29" fillId="2" fontId="3" numFmtId="164" xfId="0" applyAlignment="1" applyBorder="1" applyFont="1" applyNumberFormat="1">
      <alignment horizontal="center" shrinkToFit="0" vertical="center" wrapText="1"/>
    </xf>
    <xf borderId="34" fillId="2" fontId="3" numFmtId="2" xfId="0" applyAlignment="1" applyBorder="1" applyFont="1" applyNumberFormat="1">
      <alignment horizontal="center" readingOrder="0" vertical="center"/>
    </xf>
    <xf borderId="26" fillId="2" fontId="3" numFmtId="164" xfId="0" applyAlignment="1" applyBorder="1" applyFont="1" applyNumberFormat="1">
      <alignment horizontal="center" shrinkToFit="0" vertical="center" wrapText="1"/>
    </xf>
    <xf borderId="34" fillId="0" fontId="3" numFmtId="2" xfId="0" applyAlignment="1" applyBorder="1" applyFont="1" applyNumberFormat="1">
      <alignment horizontal="center" vertical="center"/>
    </xf>
    <xf borderId="4" fillId="3" fontId="7" numFmtId="49" xfId="0" applyAlignment="1" applyBorder="1" applyFont="1" applyNumberFormat="1">
      <alignment horizontal="center"/>
    </xf>
    <xf borderId="7" fillId="0" fontId="3" numFmtId="164" xfId="0" applyAlignment="1" applyBorder="1" applyFont="1" applyNumberFormat="1">
      <alignment horizontal="center" readingOrder="0" shrinkToFit="0" vertical="center" wrapText="1"/>
    </xf>
    <xf borderId="25" fillId="0" fontId="3" numFmtId="164" xfId="0" applyAlignment="1" applyBorder="1" applyFont="1" applyNumberFormat="1">
      <alignment horizontal="center" readingOrder="0" shrinkToFit="0" vertical="center" wrapText="1"/>
    </xf>
    <xf borderId="12" fillId="2" fontId="3" numFmtId="2" xfId="0" applyAlignment="1" applyBorder="1" applyFont="1" applyNumberFormat="1">
      <alignment horizontal="left" readingOrder="0" vertical="center"/>
    </xf>
    <xf borderId="12" fillId="0" fontId="3" numFmtId="2" xfId="0" applyAlignment="1" applyBorder="1" applyFont="1" applyNumberFormat="1">
      <alignment horizontal="center" readingOrder="0" vertical="center"/>
    </xf>
    <xf borderId="12" fillId="2" fontId="3" numFmtId="164" xfId="0" applyAlignment="1" applyBorder="1" applyFont="1" applyNumberFormat="1">
      <alignment horizontal="center" shrinkToFit="0" vertical="center" wrapText="1"/>
    </xf>
    <xf borderId="34" fillId="2" fontId="3" numFmtId="2" xfId="0" applyAlignment="1" applyBorder="1" applyFont="1" applyNumberFormat="1">
      <alignment horizontal="center" vertical="center"/>
    </xf>
    <xf borderId="0" fillId="0" fontId="7" numFmtId="2" xfId="0" applyAlignment="1" applyFont="1" applyNumberFormat="1">
      <alignment horizontal="left"/>
    </xf>
    <xf borderId="0" fillId="0" fontId="3" numFmtId="49" xfId="0" applyAlignment="1" applyFont="1" applyNumberFormat="1">
      <alignment horizontal="center"/>
    </xf>
    <xf borderId="35" fillId="0" fontId="3" numFmtId="2" xfId="0" applyAlignment="1" applyBorder="1" applyFont="1" applyNumberFormat="1">
      <alignment horizontal="left" vertical="center"/>
    </xf>
    <xf borderId="36" fillId="0" fontId="3" numFmtId="2" xfId="0" applyAlignment="1" applyBorder="1" applyFont="1" applyNumberFormat="1">
      <alignment horizontal="center" vertical="center"/>
    </xf>
    <xf borderId="8" fillId="0" fontId="2" numFmtId="0" xfId="0" applyBorder="1" applyFont="1"/>
    <xf borderId="6" fillId="0" fontId="2" numFmtId="0" xfId="0" applyBorder="1" applyFont="1"/>
    <xf borderId="37" fillId="0" fontId="3" numFmtId="2" xfId="0" applyAlignment="1" applyBorder="1" applyFont="1" applyNumberFormat="1">
      <alignment horizontal="center" shrinkToFit="0" vertical="center" wrapText="1"/>
    </xf>
    <xf borderId="24" fillId="0" fontId="2" numFmtId="0" xfId="0" applyBorder="1" applyFont="1"/>
    <xf borderId="12" fillId="0" fontId="3" numFmtId="164" xfId="0" applyAlignment="1" applyBorder="1" applyFont="1" applyNumberFormat="1">
      <alignment horizontal="center" vertical="center"/>
    </xf>
    <xf borderId="28" fillId="0" fontId="2" numFmtId="0" xfId="0" applyBorder="1" applyFont="1"/>
    <xf borderId="0" fillId="0" fontId="11" numFmtId="49" xfId="0" applyAlignment="1" applyFont="1" applyNumberFormat="1">
      <alignment horizontal="center"/>
    </xf>
    <xf borderId="38" fillId="0" fontId="3" numFmtId="2" xfId="0" applyAlignment="1" applyBorder="1" applyFont="1" applyNumberFormat="1">
      <alignment horizontal="center" vertical="center"/>
    </xf>
    <xf borderId="38" fillId="0" fontId="10" numFmtId="2" xfId="0" applyAlignment="1" applyBorder="1" applyFont="1" applyNumberFormat="1">
      <alignment horizontal="center" vertical="center"/>
    </xf>
    <xf borderId="38" fillId="0" fontId="10" numFmtId="164" xfId="0" applyAlignment="1" applyBorder="1" applyFont="1" applyNumberFormat="1">
      <alignment horizontal="center" vertical="center"/>
    </xf>
    <xf borderId="34" fillId="0" fontId="3" numFmtId="2" xfId="0" applyAlignment="1" applyBorder="1" applyFont="1" applyNumberFormat="1">
      <alignment horizontal="center" shrinkToFit="0" vertical="center" wrapText="1"/>
    </xf>
    <xf borderId="0" fillId="0" fontId="10" numFmtId="2" xfId="0" applyAlignment="1" applyFont="1" applyNumberFormat="1">
      <alignment horizontal="center"/>
    </xf>
    <xf borderId="0" fillId="0" fontId="10" numFmtId="2" xfId="0" applyFont="1" applyNumberFormat="1"/>
    <xf borderId="23" fillId="0" fontId="3" numFmtId="2" xfId="0" applyAlignment="1" applyBorder="1" applyFont="1" applyNumberFormat="1">
      <alignment horizontal="left" vertical="center"/>
    </xf>
    <xf borderId="0" fillId="0" fontId="10" numFmtId="164" xfId="0" applyAlignment="1" applyFont="1" applyNumberFormat="1">
      <alignment horizontal="center" vertical="center"/>
    </xf>
    <xf borderId="0" fillId="0" fontId="10" numFmtId="2" xfId="0" applyAlignment="1" applyFont="1" applyNumberFormat="1">
      <alignment vertical="center"/>
    </xf>
    <xf borderId="12" fillId="0" fontId="3" numFmtId="0" xfId="0" applyAlignment="1" applyBorder="1" applyFont="1">
      <alignment vertical="center"/>
    </xf>
    <xf borderId="12" fillId="0" fontId="3" numFmtId="2" xfId="0" applyAlignment="1" applyBorder="1" applyFont="1" applyNumberFormat="1">
      <alignment vertical="center"/>
    </xf>
    <xf borderId="12" fillId="0" fontId="3" numFmtId="164" xfId="0" applyAlignment="1" applyBorder="1" applyFont="1" applyNumberFormat="1">
      <alignment vertical="center"/>
    </xf>
    <xf borderId="12" fillId="0" fontId="3" numFmtId="165" xfId="0" applyAlignment="1" applyBorder="1" applyFont="1" applyNumberFormat="1">
      <alignment vertical="center"/>
    </xf>
    <xf borderId="22" fillId="0" fontId="3" numFmtId="2" xfId="0" applyAlignment="1" applyBorder="1" applyFont="1" applyNumberFormat="1">
      <alignment horizontal="center" shrinkToFit="0" vertical="center" wrapText="1"/>
    </xf>
    <xf borderId="19" fillId="0" fontId="7" numFmtId="4" xfId="0" applyAlignment="1" applyBorder="1" applyFont="1" applyNumberFormat="1">
      <alignment horizontal="center" vertical="center"/>
    </xf>
    <xf borderId="12" fillId="0" fontId="3" numFmtId="164" xfId="0" applyAlignment="1" applyBorder="1" applyFont="1" applyNumberFormat="1">
      <alignment readingOrder="0" vertical="center"/>
    </xf>
    <xf borderId="22" fillId="0" fontId="3" numFmtId="2" xfId="0" applyAlignment="1" applyBorder="1" applyFont="1" applyNumberFormat="1">
      <alignment horizontal="center" readingOrder="0" shrinkToFit="0" vertical="center" wrapText="1"/>
    </xf>
    <xf borderId="0" fillId="3" fontId="7" numFmtId="49" xfId="0" applyAlignment="1" applyFont="1" applyNumberFormat="1">
      <alignment horizontal="center" vertical="center"/>
    </xf>
    <xf borderId="0" fillId="0" fontId="3" numFmtId="2" xfId="0" applyAlignment="1" applyFont="1" applyNumberFormat="1">
      <alignment horizontal="center" readingOrder="0" vertical="center"/>
    </xf>
    <xf borderId="0" fillId="0" fontId="3" numFmtId="2" xfId="0" applyAlignment="1" applyFont="1" applyNumberFormat="1">
      <alignment horizontal="right"/>
    </xf>
    <xf borderId="4" fillId="3" fontId="7" numFmtId="0" xfId="0" applyAlignment="1" applyBorder="1" applyFont="1">
      <alignment horizontal="left" vertical="center"/>
    </xf>
    <xf borderId="0" fillId="0" fontId="3" numFmtId="49" xfId="0" applyFont="1" applyNumberFormat="1"/>
    <xf borderId="0" fillId="0" fontId="7" numFmtId="0" xfId="0" applyAlignment="1" applyFont="1">
      <alignment horizontal="left" vertical="center"/>
    </xf>
    <xf borderId="36" fillId="0" fontId="3" numFmtId="2" xfId="0" applyAlignment="1" applyBorder="1" applyFont="1" applyNumberFormat="1">
      <alignment horizontal="center" shrinkToFit="0" vertical="center" wrapText="1"/>
    </xf>
    <xf borderId="39" fillId="0" fontId="3" numFmtId="2" xfId="0" applyAlignment="1" applyBorder="1" applyFont="1" applyNumberFormat="1">
      <alignment horizontal="left" vertical="center"/>
    </xf>
    <xf borderId="12" fillId="0" fontId="3" numFmtId="2" xfId="0" applyBorder="1" applyFont="1" applyNumberFormat="1"/>
    <xf borderId="0" fillId="0" fontId="3" numFmtId="2" xfId="0" applyAlignment="1" applyFont="1" applyNumberFormat="1">
      <alignment horizontal="left"/>
    </xf>
    <xf borderId="34" fillId="0" fontId="3" numFmtId="2" xfId="0" applyAlignment="1" applyBorder="1" applyFont="1" applyNumberFormat="1">
      <alignment horizontal="center" readingOrder="0" shrinkToFit="0" vertical="center" wrapText="1"/>
    </xf>
    <xf borderId="4" fillId="3" fontId="7" numFmtId="49" xfId="0" applyAlignment="1" applyBorder="1" applyFont="1" applyNumberFormat="1">
      <alignment horizontal="center" readingOrder="0"/>
    </xf>
    <xf borderId="4" fillId="3" fontId="7" numFmtId="0" xfId="0" applyAlignment="1" applyBorder="1" applyFont="1">
      <alignment horizontal="left" readingOrder="0" vertical="center"/>
    </xf>
    <xf borderId="40" fillId="0" fontId="3" numFmtId="2" xfId="0" applyAlignment="1" applyBorder="1" applyFont="1" applyNumberFormat="1">
      <alignment horizontal="center" vertical="center"/>
    </xf>
    <xf borderId="26" fillId="0" fontId="3" numFmtId="2" xfId="0" applyBorder="1" applyFont="1" applyNumberFormat="1"/>
    <xf borderId="30" fillId="0" fontId="3" numFmtId="2" xfId="0" applyAlignment="1" applyBorder="1" applyFont="1" applyNumberFormat="1">
      <alignment horizontal="center" readingOrder="0" shrinkToFit="0" vertical="center" wrapText="1"/>
    </xf>
    <xf borderId="20" fillId="0" fontId="3" numFmtId="2" xfId="0" applyAlignment="1" applyBorder="1" applyFont="1" applyNumberFormat="1">
      <alignment horizontal="center" readingOrder="0" vertical="center"/>
    </xf>
    <xf borderId="36" fillId="0" fontId="3" numFmtId="2" xfId="0" applyAlignment="1" applyBorder="1" applyFont="1" applyNumberFormat="1">
      <alignment horizontal="center" readingOrder="0" shrinkToFit="0" vertical="center" wrapText="1"/>
    </xf>
    <xf borderId="38" fillId="0" fontId="3" numFmtId="2" xfId="0" applyAlignment="1" applyBorder="1" applyFont="1" applyNumberFormat="1">
      <alignment horizontal="center" readingOrder="0" vertical="center"/>
    </xf>
    <xf borderId="12" fillId="0" fontId="3" numFmtId="0" xfId="0" applyAlignment="1" applyBorder="1" applyFont="1">
      <alignment readingOrder="0" vertical="center"/>
    </xf>
    <xf borderId="12" fillId="0" fontId="3" numFmtId="2" xfId="0" applyAlignment="1" applyBorder="1" applyFont="1" applyNumberFormat="1">
      <alignment readingOrder="0" vertical="center"/>
    </xf>
    <xf borderId="0" fillId="0" fontId="12" numFmtId="0" xfId="0" applyFont="1"/>
    <xf borderId="0" fillId="0" fontId="3" numFmtId="0" xfId="0" applyAlignment="1" applyFont="1">
      <alignment horizontal="center"/>
    </xf>
    <xf borderId="0" fillId="0" fontId="12" numFmtId="0" xfId="0" applyAlignment="1" applyFont="1">
      <alignment readingOrder="0"/>
    </xf>
    <xf borderId="0" fillId="0" fontId="3" numFmtId="166" xfId="0" applyFont="1" applyNumberForma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76200</xdr:colOff>
      <xdr:row>0</xdr:row>
      <xdr:rowOff>95250</xdr:rowOff>
    </xdr:from>
    <xdr:ext cx="5133975" cy="9525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4.43" defaultRowHeight="15.0"/>
  <cols>
    <col customWidth="1" min="1" max="1" width="10.71"/>
    <col customWidth="1" min="2" max="2" width="57.0"/>
    <col customWidth="1" min="3" max="3" width="19.29"/>
    <col customWidth="1" min="4" max="4" width="18.57"/>
    <col customWidth="1" min="5" max="5" width="12.43"/>
    <col customWidth="1" min="6" max="6" width="14.57"/>
    <col customWidth="1" min="7" max="7" width="19.29"/>
    <col customWidth="1" min="8" max="8" width="16.0"/>
    <col customWidth="1" min="9" max="9" width="23.43"/>
    <col customWidth="1" min="10" max="10" width="12.71"/>
    <col customWidth="1" min="11" max="11" width="11.86"/>
    <col customWidth="1" min="12" max="12" width="9.71"/>
    <col customWidth="1" min="13" max="21" width="9.14"/>
    <col customWidth="1" min="22" max="26" width="8.71"/>
  </cols>
  <sheetData>
    <row r="1" ht="93.75" customHeight="1">
      <c r="A1" s="1" t="s">
        <v>0</v>
      </c>
      <c r="B1" s="2"/>
      <c r="C1" s="2"/>
      <c r="D1" s="2"/>
      <c r="E1" s="2"/>
      <c r="F1" s="2"/>
      <c r="G1" s="2"/>
      <c r="H1" s="2"/>
      <c r="I1" s="3"/>
      <c r="J1" s="4"/>
      <c r="K1" s="4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2" ht="18.0" customHeight="1">
      <c r="A2" s="6" t="s">
        <v>1</v>
      </c>
      <c r="B2" s="7"/>
      <c r="C2" s="8"/>
      <c r="D2" s="9"/>
      <c r="E2" s="8"/>
      <c r="F2" s="8"/>
      <c r="G2" s="10"/>
      <c r="H2" s="8"/>
      <c r="I2" s="11"/>
      <c r="J2" s="4"/>
      <c r="K2" s="4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</row>
    <row r="3">
      <c r="A3" s="12"/>
      <c r="B3" s="13"/>
      <c r="C3" s="14"/>
      <c r="D3" s="15"/>
      <c r="E3" s="14"/>
      <c r="F3" s="15"/>
      <c r="G3" s="16"/>
      <c r="H3" s="15"/>
      <c r="I3" s="15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</row>
    <row r="4">
      <c r="A4" s="17" t="s">
        <v>2</v>
      </c>
      <c r="B4" s="18" t="s">
        <v>3</v>
      </c>
      <c r="C4" s="15"/>
      <c r="D4" s="15"/>
      <c r="E4" s="15"/>
      <c r="F4" s="15"/>
      <c r="G4" s="16"/>
      <c r="H4" s="15"/>
      <c r="I4" s="15"/>
      <c r="J4" s="4"/>
      <c r="K4" s="4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</row>
    <row r="5">
      <c r="A5" s="19"/>
      <c r="B5" s="20"/>
      <c r="C5" s="15"/>
      <c r="D5" s="15"/>
      <c r="E5" s="15"/>
      <c r="F5" s="15"/>
      <c r="G5" s="16"/>
      <c r="H5" s="15"/>
      <c r="I5" s="15"/>
      <c r="J5" s="4"/>
      <c r="K5" s="4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19"/>
      <c r="B6" s="20"/>
      <c r="C6" s="15"/>
      <c r="D6" s="15"/>
      <c r="E6" s="15"/>
      <c r="F6" s="15"/>
      <c r="G6" s="16"/>
      <c r="H6" s="15"/>
      <c r="I6" s="15"/>
      <c r="J6" s="4"/>
      <c r="K6" s="4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</row>
    <row r="7">
      <c r="A7" s="17" t="s">
        <v>4</v>
      </c>
      <c r="B7" s="21" t="s">
        <v>5</v>
      </c>
      <c r="C7" s="15"/>
      <c r="D7" s="15"/>
      <c r="E7" s="15"/>
      <c r="F7" s="15"/>
      <c r="G7" s="16"/>
      <c r="H7" s="15"/>
      <c r="I7" s="15"/>
      <c r="J7" s="22"/>
      <c r="K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>
      <c r="A8" s="12"/>
      <c r="B8" s="20"/>
      <c r="C8" s="15"/>
      <c r="D8" s="15"/>
      <c r="E8" s="15"/>
      <c r="F8" s="15"/>
      <c r="G8" s="16"/>
      <c r="H8" s="15"/>
      <c r="I8" s="15"/>
      <c r="J8" s="22"/>
      <c r="K8" s="22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>
      <c r="A9" s="19"/>
      <c r="B9" s="24" t="s">
        <v>6</v>
      </c>
      <c r="C9" s="25" t="s">
        <v>7</v>
      </c>
      <c r="D9" s="25" t="s">
        <v>8</v>
      </c>
      <c r="E9" s="25" t="s">
        <v>9</v>
      </c>
      <c r="F9" s="25" t="s">
        <v>10</v>
      </c>
      <c r="G9" s="26"/>
      <c r="H9" s="27"/>
      <c r="I9" s="28" t="s">
        <v>8</v>
      </c>
      <c r="J9" s="29"/>
      <c r="K9" s="29"/>
      <c r="L9" s="30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</row>
    <row r="10">
      <c r="A10" s="19"/>
      <c r="B10" s="31" t="s">
        <v>11</v>
      </c>
      <c r="C10" s="32"/>
      <c r="D10" s="33">
        <v>72.0</v>
      </c>
      <c r="E10" s="33"/>
      <c r="F10" s="34"/>
      <c r="G10" s="35"/>
      <c r="H10" s="36"/>
      <c r="I10" s="37">
        <f>D10</f>
        <v>72</v>
      </c>
      <c r="J10" s="29"/>
      <c r="K10" s="29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</row>
    <row r="11">
      <c r="A11" s="19"/>
      <c r="B11" s="38"/>
      <c r="C11" s="39"/>
      <c r="D11" s="39"/>
      <c r="E11" s="39"/>
      <c r="F11" s="39"/>
      <c r="G11" s="39"/>
      <c r="H11" s="40"/>
      <c r="I11" s="41">
        <f>SUM(I10)</f>
        <v>72</v>
      </c>
      <c r="J11" s="22"/>
      <c r="K11" s="22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>
      <c r="A12" s="19"/>
      <c r="B12" s="20"/>
      <c r="C12" s="15"/>
      <c r="D12" s="15"/>
      <c r="E12" s="15"/>
      <c r="F12" s="15"/>
      <c r="G12" s="16"/>
      <c r="H12" s="15"/>
      <c r="I12" s="15"/>
      <c r="J12" s="22"/>
      <c r="K12" s="22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>
      <c r="A13" s="17" t="s">
        <v>12</v>
      </c>
      <c r="B13" s="42" t="s">
        <v>13</v>
      </c>
      <c r="J13" s="22"/>
      <c r="K13" s="22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>
      <c r="A14" s="12"/>
      <c r="B14" s="20"/>
      <c r="C14" s="15"/>
      <c r="D14" s="15"/>
      <c r="E14" s="15"/>
      <c r="F14" s="15"/>
      <c r="G14" s="16"/>
      <c r="H14" s="15"/>
      <c r="I14" s="15"/>
      <c r="J14" s="22"/>
      <c r="K14" s="22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>
      <c r="A15" s="19"/>
      <c r="B15" s="24" t="s">
        <v>6</v>
      </c>
      <c r="C15" s="43" t="s">
        <v>7</v>
      </c>
      <c r="D15" s="43" t="s">
        <v>8</v>
      </c>
      <c r="E15" s="43" t="s">
        <v>10</v>
      </c>
      <c r="F15" s="43" t="s">
        <v>9</v>
      </c>
      <c r="G15" s="26" t="s">
        <v>14</v>
      </c>
      <c r="H15" s="43"/>
      <c r="I15" s="44" t="s">
        <v>15</v>
      </c>
      <c r="J15" s="29"/>
      <c r="K15" s="29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>
      <c r="A16" s="19"/>
      <c r="B16" s="45" t="s">
        <v>16</v>
      </c>
      <c r="C16" s="33"/>
      <c r="D16" s="33"/>
      <c r="E16" s="33">
        <v>0.15</v>
      </c>
      <c r="F16" s="33"/>
      <c r="G16" s="46">
        <f>11.58*3.2</f>
        <v>37.056</v>
      </c>
      <c r="H16" s="33"/>
      <c r="I16" s="47">
        <f>E16*G16-H16*E16</f>
        <v>5.5584</v>
      </c>
      <c r="J16" s="29"/>
      <c r="K16" s="29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</row>
    <row r="17">
      <c r="A17" s="19"/>
      <c r="B17" s="48" t="s">
        <v>17</v>
      </c>
      <c r="C17" s="33"/>
      <c r="D17" s="33"/>
      <c r="E17" s="33">
        <v>0.15</v>
      </c>
      <c r="F17" s="33"/>
      <c r="G17" s="46">
        <f>1.6*2.1</f>
        <v>3.36</v>
      </c>
      <c r="H17" s="33"/>
      <c r="I17" s="47">
        <f t="shared" ref="I17:I18" si="1">E17*G17</f>
        <v>0.504</v>
      </c>
      <c r="J17" s="29"/>
      <c r="K17" s="29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</row>
    <row r="18">
      <c r="A18" s="19"/>
      <c r="B18" s="48"/>
      <c r="C18" s="33"/>
      <c r="D18" s="33"/>
      <c r="E18" s="33">
        <v>0.15</v>
      </c>
      <c r="F18" s="33"/>
      <c r="G18" s="46">
        <f>1.8*2.1</f>
        <v>3.78</v>
      </c>
      <c r="H18" s="33"/>
      <c r="I18" s="47">
        <f t="shared" si="1"/>
        <v>0.567</v>
      </c>
      <c r="J18" s="29"/>
      <c r="K18" s="29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</row>
    <row r="19">
      <c r="A19" s="19"/>
      <c r="B19" s="38" t="s">
        <v>18</v>
      </c>
      <c r="C19" s="39"/>
      <c r="D19" s="39"/>
      <c r="E19" s="39"/>
      <c r="F19" s="39"/>
      <c r="G19" s="39"/>
      <c r="H19" s="40"/>
      <c r="I19" s="41">
        <f>SUM(I16:I18)</f>
        <v>6.6294</v>
      </c>
      <c r="J19" s="22"/>
      <c r="K19" s="22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>
      <c r="A20" s="19"/>
      <c r="B20" s="20"/>
      <c r="C20" s="15"/>
      <c r="D20" s="15"/>
      <c r="E20" s="15"/>
      <c r="F20" s="15"/>
      <c r="G20" s="16"/>
      <c r="H20" s="15"/>
      <c r="I20" s="15"/>
      <c r="J20" s="22"/>
      <c r="K20" s="22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>
      <c r="A21" s="17" t="s">
        <v>19</v>
      </c>
      <c r="B21" s="49" t="s">
        <v>20</v>
      </c>
      <c r="J21" s="22"/>
      <c r="K21" s="22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ht="15.75" customHeight="1">
      <c r="A22" s="12"/>
      <c r="B22" s="20"/>
      <c r="C22" s="15"/>
      <c r="D22" s="15"/>
      <c r="E22" s="15"/>
      <c r="F22" s="15"/>
      <c r="G22" s="16"/>
      <c r="H22" s="15"/>
      <c r="I22" s="15"/>
      <c r="J22" s="22"/>
      <c r="K22" s="22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ht="15.75" customHeight="1">
      <c r="A23" s="19"/>
      <c r="B23" s="24" t="s">
        <v>6</v>
      </c>
      <c r="C23" s="25" t="s">
        <v>7</v>
      </c>
      <c r="D23" s="25" t="s">
        <v>8</v>
      </c>
      <c r="E23" s="25" t="s">
        <v>9</v>
      </c>
      <c r="F23" s="25" t="s">
        <v>10</v>
      </c>
      <c r="G23" s="26" t="s">
        <v>21</v>
      </c>
      <c r="H23" s="43" t="s">
        <v>22</v>
      </c>
      <c r="I23" s="50" t="s">
        <v>21</v>
      </c>
      <c r="J23" s="29"/>
      <c r="K23" s="29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</row>
    <row r="24" ht="15.75" customHeight="1">
      <c r="A24" s="19"/>
      <c r="B24" s="51" t="s">
        <v>23</v>
      </c>
      <c r="C24" s="52"/>
      <c r="D24" s="52"/>
      <c r="E24" s="52"/>
      <c r="F24" s="52"/>
      <c r="G24" s="53">
        <v>559.0</v>
      </c>
      <c r="H24" s="54">
        <f>34.5+36.9+40.6</f>
        <v>112</v>
      </c>
      <c r="I24" s="55">
        <f>G24-H24</f>
        <v>447</v>
      </c>
      <c r="J24" s="29"/>
      <c r="K24" s="29"/>
      <c r="L24" s="30"/>
      <c r="M24" s="30"/>
      <c r="N24" s="30"/>
      <c r="O24" s="30"/>
      <c r="P24" s="30"/>
      <c r="Q24" s="30"/>
      <c r="R24" s="30"/>
      <c r="S24" s="30"/>
      <c r="T24" s="30"/>
      <c r="U24" s="30"/>
      <c r="V24" s="30"/>
      <c r="W24" s="30"/>
      <c r="X24" s="30"/>
      <c r="Y24" s="30"/>
      <c r="Z24" s="30"/>
    </row>
    <row r="25" ht="15.75" customHeight="1">
      <c r="A25" s="19"/>
      <c r="B25" s="51" t="s">
        <v>24</v>
      </c>
      <c r="C25" s="52"/>
      <c r="D25" s="52"/>
      <c r="E25" s="52"/>
      <c r="F25" s="52"/>
      <c r="G25" s="53">
        <v>26.5</v>
      </c>
      <c r="H25" s="54"/>
      <c r="I25" s="55">
        <f t="shared" ref="I25:I27" si="2">G25</f>
        <v>26.5</v>
      </c>
      <c r="J25" s="29"/>
      <c r="K25" s="29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</row>
    <row r="26" ht="15.75" customHeight="1">
      <c r="A26" s="19"/>
      <c r="B26" s="51" t="s">
        <v>25</v>
      </c>
      <c r="C26" s="52"/>
      <c r="D26" s="52"/>
      <c r="E26" s="52"/>
      <c r="F26" s="52"/>
      <c r="G26" s="53">
        <v>28.3</v>
      </c>
      <c r="H26" s="54"/>
      <c r="I26" s="55">
        <f t="shared" si="2"/>
        <v>28.3</v>
      </c>
      <c r="J26" s="29"/>
      <c r="K26" s="29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</row>
    <row r="27" ht="15.75" customHeight="1">
      <c r="A27" s="19"/>
      <c r="B27" s="51" t="s">
        <v>26</v>
      </c>
      <c r="C27" s="52"/>
      <c r="D27" s="52"/>
      <c r="E27" s="52"/>
      <c r="F27" s="52"/>
      <c r="G27" s="53">
        <v>19.6</v>
      </c>
      <c r="H27" s="54"/>
      <c r="I27" s="55">
        <f t="shared" si="2"/>
        <v>19.6</v>
      </c>
      <c r="J27" s="29"/>
      <c r="K27" s="29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</row>
    <row r="28" ht="15.75" customHeight="1">
      <c r="A28" s="19"/>
      <c r="B28" s="38" t="s">
        <v>27</v>
      </c>
      <c r="C28" s="39"/>
      <c r="D28" s="39"/>
      <c r="E28" s="39"/>
      <c r="F28" s="39"/>
      <c r="G28" s="39"/>
      <c r="H28" s="40"/>
      <c r="I28" s="41">
        <f>SUM(I24:I27)</f>
        <v>521.4</v>
      </c>
      <c r="J28" s="22"/>
      <c r="K28" s="22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ht="15.75" customHeight="1">
      <c r="A29" s="19"/>
      <c r="B29" s="20"/>
      <c r="C29" s="15"/>
      <c r="D29" s="15"/>
      <c r="E29" s="15"/>
      <c r="F29" s="15"/>
      <c r="G29" s="16"/>
      <c r="H29" s="15"/>
      <c r="I29" s="15"/>
      <c r="J29" s="22"/>
      <c r="K29" s="22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ht="15.75" customHeight="1">
      <c r="A30" s="17" t="s">
        <v>28</v>
      </c>
      <c r="B30" s="56" t="s">
        <v>29</v>
      </c>
      <c r="C30" s="15"/>
      <c r="D30" s="15"/>
      <c r="E30" s="15"/>
      <c r="F30" s="15"/>
      <c r="G30" s="16"/>
      <c r="H30" s="15"/>
      <c r="I30" s="15"/>
      <c r="J30" s="22"/>
      <c r="K30" s="2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ht="15.75" customHeight="1">
      <c r="A31" s="12"/>
      <c r="B31" s="20"/>
      <c r="C31" s="15"/>
      <c r="D31" s="15"/>
      <c r="E31" s="15"/>
      <c r="F31" s="15"/>
      <c r="G31" s="16"/>
      <c r="H31" s="15"/>
      <c r="I31" s="15"/>
      <c r="J31" s="22"/>
      <c r="K31" s="22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5.75" customHeight="1">
      <c r="A32" s="19"/>
      <c r="B32" s="24" t="s">
        <v>6</v>
      </c>
      <c r="C32" s="25" t="s">
        <v>7</v>
      </c>
      <c r="D32" s="25" t="s">
        <v>8</v>
      </c>
      <c r="E32" s="25" t="s">
        <v>9</v>
      </c>
      <c r="F32" s="25" t="s">
        <v>10</v>
      </c>
      <c r="G32" s="26"/>
      <c r="H32" s="27"/>
      <c r="I32" s="25" t="s">
        <v>7</v>
      </c>
      <c r="J32" s="29"/>
      <c r="K32" s="29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</row>
    <row r="33" ht="15.75" customHeight="1">
      <c r="A33" s="19"/>
      <c r="B33" s="57" t="s">
        <v>30</v>
      </c>
      <c r="C33" s="32">
        <v>42.0</v>
      </c>
      <c r="D33" s="33"/>
      <c r="E33" s="33"/>
      <c r="F33" s="34"/>
      <c r="G33" s="35"/>
      <c r="H33" s="36"/>
      <c r="I33" s="37">
        <f>C33</f>
        <v>42</v>
      </c>
      <c r="J33" s="29"/>
      <c r="K33" s="29"/>
      <c r="L33" s="30"/>
      <c r="M33" s="30"/>
      <c r="N33" s="30"/>
      <c r="O33" s="30"/>
      <c r="P33" s="30"/>
      <c r="Q33" s="30"/>
      <c r="R33" s="30"/>
      <c r="S33" s="30"/>
      <c r="T33" s="30"/>
      <c r="U33" s="30"/>
      <c r="V33" s="30"/>
      <c r="W33" s="30"/>
      <c r="X33" s="30"/>
      <c r="Y33" s="30"/>
      <c r="Z33" s="30"/>
    </row>
    <row r="34" ht="15.75" customHeight="1">
      <c r="A34" s="19"/>
      <c r="B34" s="38" t="s">
        <v>31</v>
      </c>
      <c r="C34" s="39"/>
      <c r="D34" s="39"/>
      <c r="E34" s="39"/>
      <c r="F34" s="39"/>
      <c r="G34" s="39"/>
      <c r="H34" s="40"/>
      <c r="I34" s="41">
        <f>SUM(I33)</f>
        <v>42</v>
      </c>
      <c r="J34" s="22"/>
      <c r="K34" s="22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5.75" customHeight="1">
      <c r="A35" s="19"/>
      <c r="B35" s="20"/>
      <c r="C35" s="15"/>
      <c r="D35" s="15"/>
      <c r="E35" s="15"/>
      <c r="F35" s="15"/>
      <c r="G35" s="16"/>
      <c r="H35" s="15"/>
      <c r="I35" s="15"/>
      <c r="J35" s="22"/>
      <c r="K35" s="22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5.75" customHeight="1">
      <c r="A36" s="58" t="s">
        <v>32</v>
      </c>
      <c r="B36" s="56" t="s">
        <v>33</v>
      </c>
      <c r="C36" s="15"/>
      <c r="D36" s="15"/>
      <c r="E36" s="15"/>
      <c r="F36" s="15"/>
      <c r="G36" s="16"/>
      <c r="H36" s="15"/>
      <c r="I36" s="15"/>
      <c r="J36" s="22"/>
      <c r="K36" s="22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5.75" customHeight="1">
      <c r="A37" s="12"/>
      <c r="B37" s="20"/>
      <c r="C37" s="15"/>
      <c r="D37" s="15"/>
      <c r="E37" s="15"/>
      <c r="F37" s="15"/>
      <c r="G37" s="16"/>
      <c r="H37" s="15"/>
      <c r="I37" s="15"/>
      <c r="J37" s="22"/>
      <c r="K37" s="22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5.75" customHeight="1">
      <c r="A38" s="19"/>
      <c r="B38" s="24" t="s">
        <v>6</v>
      </c>
      <c r="C38" s="25" t="s">
        <v>7</v>
      </c>
      <c r="D38" s="25" t="s">
        <v>8</v>
      </c>
      <c r="E38" s="25" t="s">
        <v>9</v>
      </c>
      <c r="F38" s="25" t="s">
        <v>10</v>
      </c>
      <c r="G38" s="26" t="s">
        <v>21</v>
      </c>
      <c r="H38" s="43" t="s">
        <v>22</v>
      </c>
      <c r="I38" s="50" t="s">
        <v>21</v>
      </c>
      <c r="J38" s="29"/>
      <c r="K38" s="29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</row>
    <row r="39" ht="15.75" customHeight="1">
      <c r="A39" s="19"/>
      <c r="B39" s="31" t="s">
        <v>34</v>
      </c>
      <c r="C39" s="52"/>
      <c r="D39" s="52"/>
      <c r="E39" s="52"/>
      <c r="F39" s="52"/>
      <c r="G39" s="53">
        <v>75.0</v>
      </c>
      <c r="H39" s="54"/>
      <c r="I39" s="37">
        <f>G39</f>
        <v>75</v>
      </c>
      <c r="J39" s="29"/>
      <c r="K39" s="29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</row>
    <row r="40" ht="15.75" customHeight="1">
      <c r="A40" s="19"/>
      <c r="B40" s="38" t="s">
        <v>27</v>
      </c>
      <c r="C40" s="39"/>
      <c r="D40" s="39"/>
      <c r="E40" s="39"/>
      <c r="F40" s="39"/>
      <c r="G40" s="39"/>
      <c r="H40" s="40"/>
      <c r="I40" s="41">
        <f>I39</f>
        <v>75</v>
      </c>
      <c r="J40" s="22"/>
      <c r="K40" s="22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5.75" customHeight="1">
      <c r="A41" s="19"/>
      <c r="B41" s="20"/>
      <c r="C41" s="15"/>
      <c r="D41" s="15"/>
      <c r="E41" s="15"/>
      <c r="F41" s="15"/>
      <c r="G41" s="16"/>
      <c r="H41" s="15"/>
      <c r="I41" s="15"/>
      <c r="J41" s="22"/>
      <c r="K41" s="22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5.75" customHeight="1">
      <c r="A42" s="17" t="s">
        <v>35</v>
      </c>
      <c r="B42" s="21" t="s">
        <v>36</v>
      </c>
      <c r="C42" s="15"/>
      <c r="D42" s="15"/>
      <c r="E42" s="15"/>
      <c r="F42" s="15"/>
      <c r="G42" s="16"/>
      <c r="H42" s="15"/>
      <c r="I42" s="15"/>
      <c r="J42" s="22"/>
      <c r="K42" s="22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5.75" customHeight="1">
      <c r="A43" s="12"/>
      <c r="B43" s="20"/>
      <c r="C43" s="15"/>
      <c r="D43" s="15"/>
      <c r="E43" s="15"/>
      <c r="F43" s="15"/>
      <c r="G43" s="16"/>
      <c r="H43" s="15"/>
      <c r="I43" s="15"/>
      <c r="J43" s="22"/>
      <c r="K43" s="22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5.75" customHeight="1">
      <c r="A44" s="19"/>
      <c r="B44" s="24" t="s">
        <v>6</v>
      </c>
      <c r="C44" s="25" t="s">
        <v>7</v>
      </c>
      <c r="D44" s="25" t="s">
        <v>8</v>
      </c>
      <c r="E44" s="25" t="s">
        <v>9</v>
      </c>
      <c r="F44" s="25" t="s">
        <v>10</v>
      </c>
      <c r="G44" s="26" t="s">
        <v>21</v>
      </c>
      <c r="H44" s="43" t="s">
        <v>22</v>
      </c>
      <c r="I44" s="59" t="s">
        <v>37</v>
      </c>
      <c r="J44" s="29"/>
      <c r="K44" s="29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</row>
    <row r="45" ht="15.75" customHeight="1">
      <c r="A45" s="19"/>
      <c r="B45" s="57" t="s">
        <v>38</v>
      </c>
      <c r="C45" s="52"/>
      <c r="D45" s="60">
        <v>21.72</v>
      </c>
      <c r="E45" s="60">
        <v>0.15</v>
      </c>
      <c r="F45" s="60">
        <v>0.5</v>
      </c>
      <c r="G45" s="53"/>
      <c r="H45" s="54"/>
      <c r="I45" s="37">
        <f>D45*E45*F45</f>
        <v>1.629</v>
      </c>
      <c r="J45" s="29"/>
      <c r="K45" s="29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</row>
    <row r="46" ht="15.75" customHeight="1">
      <c r="A46" s="19"/>
      <c r="B46" s="61" t="s">
        <v>39</v>
      </c>
      <c r="C46" s="62">
        <v>7.0</v>
      </c>
      <c r="D46" s="62">
        <v>2.5</v>
      </c>
      <c r="E46" s="62">
        <v>0.15</v>
      </c>
      <c r="F46" s="63"/>
      <c r="G46" s="64"/>
      <c r="H46" s="15"/>
      <c r="I46" s="65">
        <f>C46*D46*3.14*E46^2/4</f>
        <v>0.30909375</v>
      </c>
      <c r="J46" s="29"/>
      <c r="K46" s="29"/>
      <c r="L46" s="30"/>
      <c r="M46" s="30"/>
      <c r="N46" s="30"/>
      <c r="O46" s="30"/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</row>
    <row r="47" ht="15.75" customHeight="1">
      <c r="A47" s="19"/>
      <c r="B47" s="38" t="s">
        <v>27</v>
      </c>
      <c r="C47" s="39"/>
      <c r="D47" s="39"/>
      <c r="E47" s="39"/>
      <c r="F47" s="39"/>
      <c r="G47" s="39"/>
      <c r="H47" s="40"/>
      <c r="I47" s="41">
        <f>SUM(I45:I46)</f>
        <v>1.93809375</v>
      </c>
      <c r="J47" s="22"/>
      <c r="K47" s="22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</row>
    <row r="48" ht="15.75" customHeight="1">
      <c r="A48" s="19"/>
      <c r="B48" s="20"/>
      <c r="C48" s="15"/>
      <c r="D48" s="15"/>
      <c r="E48" s="15"/>
      <c r="F48" s="15"/>
      <c r="G48" s="16"/>
      <c r="H48" s="15"/>
      <c r="I48" s="15"/>
      <c r="J48" s="22"/>
      <c r="K48" s="22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</row>
    <row r="49" ht="15.75" customHeight="1">
      <c r="A49" s="19"/>
      <c r="B49" s="20"/>
      <c r="C49" s="15"/>
      <c r="D49" s="15"/>
      <c r="E49" s="15"/>
      <c r="F49" s="15"/>
      <c r="G49" s="16"/>
      <c r="H49" s="15"/>
      <c r="I49" s="15"/>
      <c r="J49" s="22"/>
      <c r="K49" s="22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5.75" customHeight="1">
      <c r="A50" s="19"/>
      <c r="B50" s="20"/>
      <c r="C50" s="15"/>
      <c r="D50" s="15"/>
      <c r="E50" s="15"/>
      <c r="F50" s="15"/>
      <c r="G50" s="16"/>
      <c r="H50" s="15"/>
      <c r="I50" s="15"/>
      <c r="J50" s="22"/>
      <c r="K50" s="22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5.75" customHeight="1">
      <c r="A51" s="17" t="s">
        <v>40</v>
      </c>
      <c r="B51" s="18" t="s">
        <v>41</v>
      </c>
      <c r="C51" s="66"/>
      <c r="D51" s="15"/>
      <c r="E51" s="66"/>
      <c r="F51" s="15"/>
      <c r="G51" s="16"/>
      <c r="H51" s="15"/>
      <c r="I51" s="15"/>
      <c r="J51" s="4"/>
      <c r="K51" s="4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</row>
    <row r="52" ht="15.75" customHeight="1">
      <c r="A52" s="19"/>
      <c r="B52" s="67"/>
      <c r="C52" s="66"/>
      <c r="D52" s="15"/>
      <c r="E52" s="66"/>
      <c r="F52" s="15"/>
      <c r="G52" s="16"/>
      <c r="H52" s="15"/>
      <c r="I52" s="15"/>
      <c r="J52" s="4"/>
      <c r="K52" s="4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</row>
    <row r="53" ht="15.75" customHeight="1">
      <c r="A53" s="17" t="s">
        <v>42</v>
      </c>
      <c r="B53" s="42" t="s">
        <v>43</v>
      </c>
      <c r="J53" s="4"/>
      <c r="K53" s="4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</row>
    <row r="54" ht="15.75" customHeight="1">
      <c r="A54" s="12"/>
      <c r="B54" s="42"/>
      <c r="C54" s="42"/>
      <c r="D54" s="68"/>
      <c r="E54" s="42"/>
      <c r="F54" s="42"/>
      <c r="G54" s="69"/>
      <c r="H54" s="42"/>
      <c r="I54" s="42"/>
      <c r="J54" s="4"/>
      <c r="K54" s="4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</row>
    <row r="55" ht="15.75" customHeight="1">
      <c r="A55" s="19"/>
      <c r="B55" s="24"/>
      <c r="C55" s="25" t="s">
        <v>44</v>
      </c>
      <c r="D55" s="25" t="s">
        <v>9</v>
      </c>
      <c r="E55" s="25" t="s">
        <v>10</v>
      </c>
      <c r="F55" s="25" t="s">
        <v>45</v>
      </c>
      <c r="G55" s="26" t="s">
        <v>46</v>
      </c>
      <c r="H55" s="43"/>
      <c r="I55" s="28" t="s">
        <v>15</v>
      </c>
      <c r="J55" s="29"/>
      <c r="K55" s="29"/>
      <c r="L55" s="30"/>
      <c r="M55" s="30"/>
      <c r="N55" s="30"/>
      <c r="O55" s="30"/>
      <c r="P55" s="30"/>
      <c r="Q55" s="30"/>
      <c r="R55" s="30"/>
      <c r="S55" s="30"/>
      <c r="T55" s="30"/>
      <c r="U55" s="30"/>
      <c r="V55" s="30"/>
      <c r="W55" s="30"/>
      <c r="X55" s="30"/>
      <c r="Y55" s="30"/>
      <c r="Z55" s="30"/>
    </row>
    <row r="56" ht="15.75" customHeight="1">
      <c r="A56" s="19"/>
      <c r="B56" s="51" t="s">
        <v>47</v>
      </c>
      <c r="C56" s="52"/>
      <c r="D56" s="52"/>
      <c r="E56" s="52"/>
      <c r="F56" s="52"/>
      <c r="G56" s="70"/>
      <c r="H56" s="71"/>
      <c r="I56" s="72">
        <v>9.0</v>
      </c>
      <c r="J56" s="29"/>
      <c r="K56" s="29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</row>
    <row r="57" ht="15.75" customHeight="1">
      <c r="A57" s="19"/>
      <c r="B57" s="73" t="s">
        <v>48</v>
      </c>
      <c r="C57" s="52"/>
      <c r="D57" s="74"/>
      <c r="E57" s="71"/>
      <c r="F57" s="52"/>
      <c r="G57" s="75"/>
      <c r="H57" s="76"/>
      <c r="I57" s="77">
        <v>10.8</v>
      </c>
      <c r="J57" s="15"/>
      <c r="K57" s="15"/>
      <c r="L57" s="78"/>
      <c r="M57" s="78"/>
      <c r="N57" s="78"/>
      <c r="O57" s="78"/>
      <c r="P57" s="78"/>
      <c r="Q57" s="78"/>
      <c r="R57" s="78"/>
      <c r="S57" s="78"/>
      <c r="T57" s="78"/>
      <c r="U57" s="78"/>
      <c r="V57" s="78"/>
      <c r="W57" s="78"/>
      <c r="X57" s="78"/>
      <c r="Y57" s="78"/>
      <c r="Z57" s="78"/>
    </row>
    <row r="58" ht="15.75" customHeight="1">
      <c r="A58" s="19"/>
      <c r="B58" s="73" t="s">
        <v>49</v>
      </c>
      <c r="C58" s="52"/>
      <c r="D58" s="74"/>
      <c r="E58" s="71"/>
      <c r="F58" s="52"/>
      <c r="G58" s="75"/>
      <c r="H58" s="76"/>
      <c r="I58" s="77">
        <v>10.8</v>
      </c>
      <c r="J58" s="15"/>
      <c r="K58" s="15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</row>
    <row r="59" ht="15.75" customHeight="1">
      <c r="A59" s="19"/>
      <c r="B59" s="73" t="s">
        <v>50</v>
      </c>
      <c r="C59" s="52"/>
      <c r="D59" s="74"/>
      <c r="E59" s="71"/>
      <c r="F59" s="52"/>
      <c r="G59" s="75"/>
      <c r="H59" s="76"/>
      <c r="I59" s="77">
        <v>11.73</v>
      </c>
      <c r="J59" s="15"/>
      <c r="K59" s="15"/>
      <c r="L59" s="78"/>
      <c r="M59" s="78"/>
      <c r="N59" s="78"/>
      <c r="O59" s="78"/>
      <c r="P59" s="78"/>
      <c r="Q59" s="78"/>
      <c r="R59" s="78"/>
      <c r="S59" s="78"/>
      <c r="T59" s="78"/>
      <c r="U59" s="78"/>
      <c r="V59" s="78"/>
      <c r="W59" s="78"/>
      <c r="X59" s="78"/>
      <c r="Y59" s="78"/>
      <c r="Z59" s="78"/>
    </row>
    <row r="60" ht="15.75" customHeight="1">
      <c r="A60" s="19"/>
      <c r="B60" s="73" t="s">
        <v>51</v>
      </c>
      <c r="C60" s="52"/>
      <c r="D60" s="74"/>
      <c r="E60" s="71"/>
      <c r="F60" s="52"/>
      <c r="G60" s="75"/>
      <c r="H60" s="76"/>
      <c r="I60" s="77">
        <v>13.26</v>
      </c>
      <c r="J60" s="15"/>
      <c r="K60" s="15"/>
      <c r="L60" s="78"/>
      <c r="M60" s="78"/>
      <c r="N60" s="78"/>
      <c r="O60" s="78"/>
      <c r="P60" s="78"/>
      <c r="Q60" s="78"/>
      <c r="R60" s="78"/>
      <c r="S60" s="78"/>
      <c r="T60" s="78"/>
      <c r="U60" s="78"/>
      <c r="V60" s="78"/>
      <c r="W60" s="78"/>
      <c r="X60" s="78"/>
      <c r="Y60" s="78"/>
      <c r="Z60" s="78"/>
    </row>
    <row r="61" ht="15.75" customHeight="1">
      <c r="A61" s="19"/>
      <c r="B61" s="73" t="s">
        <v>52</v>
      </c>
      <c r="C61" s="52"/>
      <c r="D61" s="74"/>
      <c r="E61" s="71"/>
      <c r="F61" s="52"/>
      <c r="G61" s="75"/>
      <c r="H61" s="76"/>
      <c r="I61" s="77">
        <v>13.26</v>
      </c>
      <c r="J61" s="15"/>
      <c r="K61" s="15"/>
      <c r="L61" s="78"/>
      <c r="M61" s="78"/>
      <c r="N61" s="78"/>
      <c r="O61" s="78"/>
      <c r="P61" s="78"/>
      <c r="Q61" s="78"/>
      <c r="R61" s="78"/>
      <c r="S61" s="78"/>
      <c r="T61" s="78"/>
      <c r="U61" s="78"/>
      <c r="V61" s="78"/>
      <c r="W61" s="78"/>
      <c r="X61" s="78"/>
      <c r="Y61" s="78"/>
      <c r="Z61" s="78"/>
    </row>
    <row r="62" ht="15.75" customHeight="1">
      <c r="A62" s="19"/>
      <c r="B62" s="73" t="s">
        <v>53</v>
      </c>
      <c r="C62" s="52"/>
      <c r="D62" s="74"/>
      <c r="E62" s="71"/>
      <c r="F62" s="52"/>
      <c r="G62" s="75"/>
      <c r="H62" s="76"/>
      <c r="I62" s="77">
        <v>24.92</v>
      </c>
      <c r="J62" s="15"/>
      <c r="K62" s="15"/>
      <c r="L62" s="78"/>
      <c r="M62" s="78"/>
      <c r="N62" s="78"/>
      <c r="O62" s="78"/>
      <c r="P62" s="78"/>
      <c r="Q62" s="78"/>
      <c r="R62" s="78"/>
      <c r="S62" s="78"/>
      <c r="T62" s="78"/>
      <c r="U62" s="78"/>
      <c r="V62" s="78"/>
      <c r="W62" s="78"/>
      <c r="X62" s="78"/>
      <c r="Y62" s="78"/>
      <c r="Z62" s="78"/>
    </row>
    <row r="63" ht="15.75" customHeight="1">
      <c r="A63" s="19"/>
      <c r="B63" s="73" t="s">
        <v>54</v>
      </c>
      <c r="C63" s="52"/>
      <c r="D63" s="74"/>
      <c r="E63" s="71"/>
      <c r="F63" s="52"/>
      <c r="G63" s="75"/>
      <c r="H63" s="76"/>
      <c r="I63" s="77">
        <v>5.78</v>
      </c>
      <c r="J63" s="29"/>
      <c r="K63" s="29"/>
      <c r="L63" s="30"/>
      <c r="M63" s="30"/>
      <c r="N63" s="30"/>
      <c r="O63" s="30"/>
      <c r="P63" s="30"/>
      <c r="Q63" s="30"/>
      <c r="R63" s="30"/>
      <c r="S63" s="30"/>
      <c r="T63" s="30"/>
      <c r="U63" s="30"/>
      <c r="V63" s="30"/>
      <c r="W63" s="30"/>
      <c r="X63" s="30"/>
      <c r="Y63" s="30"/>
      <c r="Z63" s="30"/>
    </row>
    <row r="64" ht="15.75" customHeight="1">
      <c r="A64" s="19"/>
      <c r="B64" s="73" t="s">
        <v>55</v>
      </c>
      <c r="C64" s="52"/>
      <c r="D64" s="74"/>
      <c r="E64" s="71"/>
      <c r="F64" s="52"/>
      <c r="G64" s="75"/>
      <c r="H64" s="76"/>
      <c r="I64" s="77">
        <v>5.78</v>
      </c>
      <c r="J64" s="15"/>
      <c r="K64" s="15"/>
      <c r="L64" s="78"/>
      <c r="M64" s="78"/>
      <c r="N64" s="78"/>
      <c r="O64" s="78"/>
      <c r="P64" s="78"/>
      <c r="Q64" s="78"/>
      <c r="R64" s="78"/>
      <c r="S64" s="78"/>
      <c r="T64" s="78"/>
      <c r="U64" s="78"/>
      <c r="V64" s="78"/>
      <c r="W64" s="78"/>
      <c r="X64" s="78"/>
      <c r="Y64" s="78"/>
      <c r="Z64" s="78"/>
    </row>
    <row r="65" ht="15.75" customHeight="1">
      <c r="A65" s="19"/>
      <c r="B65" s="73" t="s">
        <v>56</v>
      </c>
      <c r="C65" s="52"/>
      <c r="D65" s="74"/>
      <c r="E65" s="71"/>
      <c r="F65" s="52"/>
      <c r="G65" s="75"/>
      <c r="H65" s="76"/>
      <c r="I65" s="77">
        <v>5.78</v>
      </c>
      <c r="J65" s="15"/>
      <c r="K65" s="15"/>
      <c r="L65" s="78"/>
      <c r="M65" s="78"/>
      <c r="N65" s="78"/>
      <c r="O65" s="78"/>
      <c r="P65" s="78"/>
      <c r="Q65" s="78"/>
      <c r="R65" s="78"/>
      <c r="S65" s="78"/>
      <c r="T65" s="78"/>
      <c r="U65" s="78"/>
      <c r="V65" s="78"/>
      <c r="W65" s="78"/>
      <c r="X65" s="78"/>
      <c r="Y65" s="78"/>
      <c r="Z65" s="78"/>
    </row>
    <row r="66" ht="15.75" customHeight="1">
      <c r="A66" s="19"/>
      <c r="B66" s="73" t="s">
        <v>57</v>
      </c>
      <c r="C66" s="52"/>
      <c r="D66" s="74"/>
      <c r="E66" s="71"/>
      <c r="F66" s="52"/>
      <c r="G66" s="70"/>
      <c r="H66" s="71"/>
      <c r="I66" s="77">
        <v>5.78</v>
      </c>
      <c r="J66" s="15"/>
      <c r="K66" s="15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8"/>
      <c r="W66" s="78"/>
      <c r="X66" s="78"/>
      <c r="Y66" s="78"/>
      <c r="Z66" s="78"/>
    </row>
    <row r="67" ht="15.75" customHeight="1">
      <c r="A67" s="19"/>
      <c r="B67" s="73" t="s">
        <v>58</v>
      </c>
      <c r="C67" s="52"/>
      <c r="D67" s="74"/>
      <c r="E67" s="71"/>
      <c r="F67" s="52"/>
      <c r="G67" s="75"/>
      <c r="H67" s="76"/>
      <c r="I67" s="77">
        <v>5.78</v>
      </c>
      <c r="J67" s="15"/>
      <c r="K67" s="15"/>
      <c r="L67" s="78"/>
      <c r="M67" s="78"/>
      <c r="N67" s="78"/>
      <c r="O67" s="78"/>
      <c r="P67" s="78"/>
      <c r="Q67" s="78"/>
      <c r="R67" s="78"/>
      <c r="S67" s="78"/>
      <c r="T67" s="78"/>
      <c r="U67" s="78"/>
      <c r="V67" s="78"/>
      <c r="W67" s="78"/>
      <c r="X67" s="78"/>
      <c r="Y67" s="78"/>
      <c r="Z67" s="78"/>
    </row>
    <row r="68" ht="15.75" customHeight="1">
      <c r="A68" s="19"/>
      <c r="B68" s="73" t="s">
        <v>59</v>
      </c>
      <c r="C68" s="52"/>
      <c r="D68" s="74"/>
      <c r="E68" s="71"/>
      <c r="F68" s="52"/>
      <c r="G68" s="75"/>
      <c r="H68" s="76"/>
      <c r="I68" s="77">
        <v>5.78</v>
      </c>
      <c r="J68" s="15"/>
      <c r="K68" s="15"/>
      <c r="L68" s="78"/>
      <c r="M68" s="78"/>
      <c r="N68" s="78"/>
      <c r="O68" s="78"/>
      <c r="P68" s="78"/>
      <c r="Q68" s="78"/>
      <c r="R68" s="78"/>
      <c r="S68" s="78"/>
      <c r="T68" s="78"/>
      <c r="U68" s="78"/>
      <c r="V68" s="78"/>
      <c r="W68" s="78"/>
      <c r="X68" s="78"/>
      <c r="Y68" s="78"/>
      <c r="Z68" s="78"/>
    </row>
    <row r="69" ht="15.75" customHeight="1">
      <c r="A69" s="19"/>
      <c r="B69" s="73" t="s">
        <v>60</v>
      </c>
      <c r="C69" s="52"/>
      <c r="D69" s="74"/>
      <c r="E69" s="71"/>
      <c r="F69" s="52"/>
      <c r="G69" s="75"/>
      <c r="H69" s="76"/>
      <c r="I69" s="77">
        <v>5.78</v>
      </c>
      <c r="J69" s="15"/>
      <c r="K69" s="15"/>
      <c r="L69" s="78"/>
      <c r="M69" s="78"/>
      <c r="N69" s="78"/>
      <c r="O69" s="78"/>
      <c r="P69" s="78"/>
      <c r="Q69" s="78"/>
      <c r="R69" s="78"/>
      <c r="S69" s="78"/>
      <c r="T69" s="78"/>
      <c r="U69" s="78"/>
      <c r="V69" s="78"/>
      <c r="W69" s="78"/>
      <c r="X69" s="78"/>
      <c r="Y69" s="78"/>
      <c r="Z69" s="78"/>
    </row>
    <row r="70" ht="15.75" customHeight="1">
      <c r="A70" s="19"/>
      <c r="B70" s="73" t="s">
        <v>61</v>
      </c>
      <c r="C70" s="52"/>
      <c r="D70" s="74"/>
      <c r="E70" s="71"/>
      <c r="F70" s="52"/>
      <c r="G70" s="75"/>
      <c r="H70" s="76"/>
      <c r="I70" s="77">
        <v>5.78</v>
      </c>
      <c r="J70" s="29"/>
      <c r="K70" s="29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</row>
    <row r="71" ht="15.75" customHeight="1">
      <c r="A71" s="19"/>
      <c r="B71" s="73" t="s">
        <v>62</v>
      </c>
      <c r="C71" s="52"/>
      <c r="D71" s="74"/>
      <c r="E71" s="71"/>
      <c r="F71" s="52"/>
      <c r="G71" s="75"/>
      <c r="H71" s="76"/>
      <c r="I71" s="77">
        <v>9.48</v>
      </c>
      <c r="J71" s="15"/>
      <c r="K71" s="15"/>
      <c r="L71" s="78"/>
      <c r="M71" s="78"/>
      <c r="N71" s="78"/>
      <c r="O71" s="78"/>
      <c r="P71" s="78"/>
      <c r="Q71" s="78"/>
      <c r="R71" s="78"/>
      <c r="S71" s="78"/>
      <c r="T71" s="78"/>
      <c r="U71" s="78"/>
      <c r="V71" s="78"/>
      <c r="W71" s="78"/>
      <c r="X71" s="78"/>
      <c r="Y71" s="78"/>
      <c r="Z71" s="78"/>
    </row>
    <row r="72" ht="15.75" customHeight="1">
      <c r="A72" s="19"/>
      <c r="B72" s="73" t="s">
        <v>63</v>
      </c>
      <c r="C72" s="52"/>
      <c r="D72" s="74"/>
      <c r="E72" s="71"/>
      <c r="F72" s="52"/>
      <c r="G72" s="75"/>
      <c r="H72" s="76"/>
      <c r="I72" s="77">
        <v>8.16</v>
      </c>
      <c r="J72" s="15"/>
      <c r="K72" s="15"/>
      <c r="L72" s="78"/>
      <c r="M72" s="78"/>
      <c r="N72" s="78"/>
      <c r="O72" s="78"/>
      <c r="P72" s="78"/>
      <c r="Q72" s="78"/>
      <c r="R72" s="78"/>
      <c r="S72" s="78"/>
      <c r="T72" s="78"/>
      <c r="U72" s="78"/>
      <c r="V72" s="78"/>
      <c r="W72" s="78"/>
      <c r="X72" s="78"/>
      <c r="Y72" s="78"/>
      <c r="Z72" s="78"/>
    </row>
    <row r="73" ht="15.75" customHeight="1">
      <c r="A73" s="19"/>
      <c r="B73" s="73" t="s">
        <v>64</v>
      </c>
      <c r="C73" s="52"/>
      <c r="D73" s="74"/>
      <c r="E73" s="71"/>
      <c r="F73" s="52"/>
      <c r="G73" s="75"/>
      <c r="H73" s="76"/>
      <c r="I73" s="77">
        <v>4.9</v>
      </c>
      <c r="J73" s="15"/>
      <c r="K73" s="15"/>
      <c r="L73" s="78"/>
      <c r="M73" s="78"/>
      <c r="N73" s="78"/>
      <c r="O73" s="78"/>
      <c r="P73" s="78"/>
      <c r="Q73" s="78"/>
      <c r="R73" s="78"/>
      <c r="S73" s="78"/>
      <c r="T73" s="78"/>
      <c r="U73" s="78"/>
      <c r="V73" s="78"/>
      <c r="W73" s="78"/>
      <c r="X73" s="78"/>
      <c r="Y73" s="78"/>
      <c r="Z73" s="78"/>
    </row>
    <row r="74" ht="15.75" customHeight="1">
      <c r="A74" s="19"/>
      <c r="B74" s="38" t="s">
        <v>37</v>
      </c>
      <c r="C74" s="39"/>
      <c r="D74" s="39"/>
      <c r="E74" s="39"/>
      <c r="F74" s="39"/>
      <c r="G74" s="39"/>
      <c r="H74" s="40"/>
      <c r="I74" s="41">
        <f>SUM(I56:I73)</f>
        <v>162.55</v>
      </c>
      <c r="J74" s="15"/>
      <c r="K74" s="15"/>
      <c r="L74" s="78"/>
      <c r="M74" s="78"/>
      <c r="N74" s="78"/>
      <c r="O74" s="78"/>
      <c r="P74" s="78"/>
      <c r="Q74" s="78"/>
      <c r="R74" s="78"/>
      <c r="S74" s="78"/>
      <c r="T74" s="78"/>
      <c r="U74" s="78"/>
      <c r="V74" s="78"/>
      <c r="W74" s="78"/>
      <c r="X74" s="78"/>
      <c r="Y74" s="78"/>
      <c r="Z74" s="78"/>
    </row>
    <row r="75" ht="15.75" customHeight="1">
      <c r="A75" s="12"/>
      <c r="B75" s="42"/>
      <c r="C75" s="42"/>
      <c r="D75" s="68"/>
      <c r="E75" s="42"/>
      <c r="F75" s="42"/>
      <c r="G75" s="69"/>
      <c r="H75" s="42"/>
      <c r="I75" s="42"/>
      <c r="J75" s="4"/>
      <c r="K75" s="4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</row>
    <row r="76" ht="15.75" customHeight="1">
      <c r="A76" s="17" t="s">
        <v>65</v>
      </c>
      <c r="B76" s="42" t="s">
        <v>66</v>
      </c>
      <c r="J76" s="4"/>
      <c r="K76" s="4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</row>
    <row r="77" ht="15.75" customHeight="1">
      <c r="A77" s="12"/>
      <c r="B77" s="42"/>
      <c r="C77" s="42"/>
      <c r="D77" s="68"/>
      <c r="E77" s="42"/>
      <c r="F77" s="42"/>
      <c r="G77" s="69"/>
      <c r="H77" s="42"/>
      <c r="I77" s="42"/>
      <c r="J77" s="4"/>
      <c r="K77" s="4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</row>
    <row r="78" ht="15.75" customHeight="1">
      <c r="A78" s="19"/>
      <c r="B78" s="24"/>
      <c r="C78" s="25" t="s">
        <v>44</v>
      </c>
      <c r="D78" s="25" t="s">
        <v>9</v>
      </c>
      <c r="E78" s="25" t="s">
        <v>10</v>
      </c>
      <c r="F78" s="25" t="s">
        <v>21</v>
      </c>
      <c r="G78" s="26"/>
      <c r="H78" s="43"/>
      <c r="I78" s="28" t="s">
        <v>15</v>
      </c>
      <c r="J78" s="29"/>
      <c r="K78" s="29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</row>
    <row r="79" ht="15.75" customHeight="1">
      <c r="A79" s="19"/>
      <c r="B79" s="73" t="s">
        <v>67</v>
      </c>
      <c r="C79" s="52">
        <f t="shared" ref="C79:C80" si="3">3.55-1</f>
        <v>2.55</v>
      </c>
      <c r="D79" s="74">
        <f t="shared" ref="D79:D82" si="4">0.2</f>
        <v>0.2</v>
      </c>
      <c r="E79" s="79">
        <v>0.25</v>
      </c>
      <c r="F79" s="52"/>
      <c r="G79" s="75"/>
      <c r="H79" s="76"/>
      <c r="I79" s="80">
        <f t="shared" ref="I79:I82" si="5">C79*D79*E79</f>
        <v>0.1275</v>
      </c>
      <c r="J79" s="15"/>
      <c r="K79" s="15"/>
      <c r="L79" s="78"/>
      <c r="M79" s="78"/>
      <c r="N79" s="78"/>
      <c r="O79" s="78"/>
      <c r="P79" s="78"/>
      <c r="Q79" s="78"/>
      <c r="R79" s="78"/>
      <c r="S79" s="78"/>
      <c r="T79" s="78"/>
      <c r="U79" s="78"/>
      <c r="V79" s="78"/>
      <c r="W79" s="78"/>
      <c r="X79" s="78"/>
      <c r="Y79" s="78"/>
      <c r="Z79" s="78"/>
    </row>
    <row r="80" ht="15.75" customHeight="1">
      <c r="A80" s="19"/>
      <c r="B80" s="73" t="s">
        <v>68</v>
      </c>
      <c r="C80" s="52">
        <f t="shared" si="3"/>
        <v>2.55</v>
      </c>
      <c r="D80" s="74">
        <f t="shared" si="4"/>
        <v>0.2</v>
      </c>
      <c r="E80" s="79">
        <v>0.25</v>
      </c>
      <c r="F80" s="52"/>
      <c r="G80" s="75"/>
      <c r="H80" s="76"/>
      <c r="I80" s="80">
        <f t="shared" si="5"/>
        <v>0.1275</v>
      </c>
      <c r="J80" s="15"/>
      <c r="K80" s="15"/>
      <c r="L80" s="78"/>
      <c r="M80" s="78"/>
      <c r="N80" s="78"/>
      <c r="O80" s="78"/>
      <c r="P80" s="78"/>
      <c r="Q80" s="78"/>
      <c r="R80" s="78"/>
      <c r="S80" s="78"/>
      <c r="T80" s="78"/>
      <c r="U80" s="78"/>
      <c r="V80" s="78"/>
      <c r="W80" s="78"/>
      <c r="X80" s="78"/>
      <c r="Y80" s="78"/>
      <c r="Z80" s="78"/>
    </row>
    <row r="81" ht="15.75" customHeight="1">
      <c r="A81" s="19"/>
      <c r="B81" s="73" t="s">
        <v>69</v>
      </c>
      <c r="C81" s="52">
        <f>4.3-1+3.17-1+1.9-1</f>
        <v>6.37</v>
      </c>
      <c r="D81" s="74">
        <f t="shared" si="4"/>
        <v>0.2</v>
      </c>
      <c r="E81" s="79">
        <v>0.35</v>
      </c>
      <c r="F81" s="52"/>
      <c r="G81" s="75"/>
      <c r="H81" s="76"/>
      <c r="I81" s="80">
        <f t="shared" si="5"/>
        <v>0.4459</v>
      </c>
      <c r="J81" s="15"/>
      <c r="K81" s="15"/>
      <c r="L81" s="78"/>
      <c r="M81" s="78"/>
      <c r="N81" s="78"/>
      <c r="O81" s="78"/>
      <c r="P81" s="78"/>
      <c r="Q81" s="78"/>
      <c r="R81" s="78"/>
      <c r="S81" s="78"/>
      <c r="T81" s="78"/>
      <c r="U81" s="78"/>
      <c r="V81" s="78"/>
      <c r="W81" s="78"/>
      <c r="X81" s="78"/>
      <c r="Y81" s="78"/>
      <c r="Z81" s="78"/>
    </row>
    <row r="82" ht="15.75" customHeight="1">
      <c r="A82" s="19"/>
      <c r="B82" s="73" t="s">
        <v>70</v>
      </c>
      <c r="C82" s="52">
        <f>4.3-1+3.17-1+2.78-1+2.3-1+2.3-1</f>
        <v>9.85</v>
      </c>
      <c r="D82" s="74">
        <f t="shared" si="4"/>
        <v>0.2</v>
      </c>
      <c r="E82" s="79">
        <v>0.35</v>
      </c>
      <c r="F82" s="52"/>
      <c r="G82" s="75"/>
      <c r="H82" s="76"/>
      <c r="I82" s="80">
        <f t="shared" si="5"/>
        <v>0.6895</v>
      </c>
      <c r="J82" s="15"/>
      <c r="K82" s="15"/>
      <c r="L82" s="78"/>
      <c r="M82" s="78"/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</row>
    <row r="83" ht="15.75" customHeight="1">
      <c r="A83" s="19"/>
      <c r="B83" s="38" t="s">
        <v>37</v>
      </c>
      <c r="C83" s="39"/>
      <c r="D83" s="39"/>
      <c r="E83" s="39"/>
      <c r="F83" s="39"/>
      <c r="G83" s="39"/>
      <c r="H83" s="40"/>
      <c r="I83" s="41">
        <f>SUM(I79:I82)</f>
        <v>1.3904</v>
      </c>
      <c r="J83" s="22"/>
      <c r="K83" s="22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</row>
    <row r="84" ht="15.75" customHeight="1">
      <c r="A84" s="12"/>
      <c r="B84" s="42"/>
      <c r="C84" s="42"/>
      <c r="D84" s="68"/>
      <c r="E84" s="42"/>
      <c r="F84" s="42"/>
      <c r="G84" s="69"/>
      <c r="H84" s="42"/>
      <c r="I84" s="42"/>
      <c r="J84" s="4"/>
      <c r="K84" s="4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</row>
    <row r="85" ht="15.75" customHeight="1">
      <c r="A85" s="17" t="s">
        <v>71</v>
      </c>
      <c r="B85" s="42" t="s">
        <v>72</v>
      </c>
      <c r="J85" s="4"/>
      <c r="K85" s="4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</row>
    <row r="86" ht="15.75" customHeight="1">
      <c r="A86" s="12"/>
      <c r="B86" s="42"/>
      <c r="C86" s="42"/>
      <c r="D86" s="68"/>
      <c r="E86" s="42"/>
      <c r="F86" s="42"/>
      <c r="G86" s="69"/>
      <c r="H86" s="42"/>
      <c r="I86" s="42"/>
      <c r="J86" s="4"/>
      <c r="K86" s="4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</row>
    <row r="87" ht="15.75" customHeight="1">
      <c r="A87" s="19"/>
      <c r="B87" s="24"/>
      <c r="C87" s="25" t="s">
        <v>44</v>
      </c>
      <c r="D87" s="25" t="s">
        <v>9</v>
      </c>
      <c r="E87" s="25" t="s">
        <v>10</v>
      </c>
      <c r="F87" s="25" t="s">
        <v>45</v>
      </c>
      <c r="G87" s="26" t="s">
        <v>46</v>
      </c>
      <c r="H87" s="43"/>
      <c r="I87" s="81" t="s">
        <v>21</v>
      </c>
      <c r="J87" s="29"/>
      <c r="K87" s="29"/>
      <c r="L87" s="30"/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</row>
    <row r="88" ht="15.75" customHeight="1">
      <c r="A88" s="19"/>
      <c r="B88" s="73" t="s">
        <v>67</v>
      </c>
      <c r="C88" s="52">
        <f t="shared" ref="C88:C89" si="6">3.55-1</f>
        <v>2.55</v>
      </c>
      <c r="D88" s="74">
        <v>0.2</v>
      </c>
      <c r="E88" s="71"/>
      <c r="F88" s="52"/>
      <c r="G88" s="75"/>
      <c r="H88" s="76"/>
      <c r="I88" s="80">
        <f t="shared" ref="I88:I91" si="7">C88*D88</f>
        <v>0.51</v>
      </c>
      <c r="J88" s="15"/>
      <c r="K88" s="15"/>
      <c r="L88" s="78"/>
      <c r="M88" s="78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</row>
    <row r="89" ht="15.75" customHeight="1">
      <c r="A89" s="19"/>
      <c r="B89" s="73" t="s">
        <v>68</v>
      </c>
      <c r="C89" s="52">
        <f t="shared" si="6"/>
        <v>2.55</v>
      </c>
      <c r="D89" s="74">
        <v>0.2</v>
      </c>
      <c r="E89" s="71"/>
      <c r="F89" s="52"/>
      <c r="G89" s="75"/>
      <c r="H89" s="76"/>
      <c r="I89" s="80">
        <f t="shared" si="7"/>
        <v>0.51</v>
      </c>
      <c r="J89" s="15"/>
      <c r="K89" s="15"/>
      <c r="L89" s="78"/>
      <c r="M89" s="78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</row>
    <row r="90" ht="15.75" customHeight="1">
      <c r="A90" s="19"/>
      <c r="B90" s="73" t="s">
        <v>69</v>
      </c>
      <c r="C90" s="52">
        <f>4.3-1+3.17-1+1.9-1</f>
        <v>6.37</v>
      </c>
      <c r="D90" s="74">
        <v>0.2</v>
      </c>
      <c r="E90" s="71"/>
      <c r="F90" s="52"/>
      <c r="G90" s="75"/>
      <c r="H90" s="76"/>
      <c r="I90" s="80">
        <f t="shared" si="7"/>
        <v>1.274</v>
      </c>
      <c r="J90" s="15"/>
      <c r="K90" s="15"/>
      <c r="L90" s="78"/>
      <c r="M90" s="78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</row>
    <row r="91" ht="15.75" customHeight="1">
      <c r="A91" s="19"/>
      <c r="B91" s="73" t="s">
        <v>70</v>
      </c>
      <c r="C91" s="52">
        <f>4.3-1+3.17-1+2.78-1+2.3-1+2.3-1</f>
        <v>9.85</v>
      </c>
      <c r="D91" s="74">
        <v>0.2</v>
      </c>
      <c r="E91" s="71"/>
      <c r="F91" s="52"/>
      <c r="G91" s="75"/>
      <c r="H91" s="76"/>
      <c r="I91" s="80">
        <f t="shared" si="7"/>
        <v>1.97</v>
      </c>
      <c r="J91" s="15"/>
      <c r="K91" s="15"/>
      <c r="L91" s="78"/>
      <c r="M91" s="78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</row>
    <row r="92" ht="15.75" customHeight="1">
      <c r="A92" s="19"/>
      <c r="B92" s="82" t="s">
        <v>73</v>
      </c>
      <c r="C92" s="39"/>
      <c r="D92" s="39"/>
      <c r="E92" s="39"/>
      <c r="F92" s="39"/>
      <c r="G92" s="39"/>
      <c r="H92" s="40"/>
      <c r="I92" s="41">
        <f>SUM(I88:I91)</f>
        <v>4.264</v>
      </c>
      <c r="J92" s="15"/>
      <c r="K92" s="15"/>
      <c r="L92" s="78"/>
      <c r="M92" s="78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</row>
    <row r="93" ht="15.75" customHeight="1">
      <c r="A93" s="12"/>
      <c r="B93" s="42"/>
      <c r="C93" s="42"/>
      <c r="D93" s="68"/>
      <c r="E93" s="42"/>
      <c r="F93" s="42"/>
      <c r="G93" s="69"/>
      <c r="H93" s="42"/>
      <c r="I93" s="42"/>
      <c r="J93" s="4"/>
      <c r="K93" s="4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</row>
    <row r="94" ht="15.75" customHeight="1">
      <c r="A94" s="12"/>
      <c r="B94" s="42"/>
      <c r="C94" s="42"/>
      <c r="D94" s="68"/>
      <c r="E94" s="42"/>
      <c r="F94" s="42"/>
      <c r="G94" s="69"/>
      <c r="H94" s="42"/>
      <c r="I94" s="42"/>
      <c r="J94" s="4"/>
      <c r="K94" s="4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</row>
    <row r="95" ht="15.75" customHeight="1">
      <c r="A95" s="17" t="s">
        <v>74</v>
      </c>
      <c r="B95" s="42" t="s">
        <v>75</v>
      </c>
      <c r="J95" s="4"/>
      <c r="K95" s="4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</row>
    <row r="96" ht="15.75" customHeight="1">
      <c r="A96" s="12"/>
      <c r="B96" s="42"/>
      <c r="C96" s="42"/>
      <c r="D96" s="68"/>
      <c r="E96" s="42"/>
      <c r="F96" s="42"/>
      <c r="G96" s="69"/>
      <c r="H96" s="42"/>
      <c r="I96" s="42"/>
      <c r="J96" s="4"/>
      <c r="K96" s="4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</row>
    <row r="97" ht="15.75" customHeight="1">
      <c r="A97" s="19"/>
      <c r="B97" s="24" t="s">
        <v>6</v>
      </c>
      <c r="C97" s="25" t="s">
        <v>44</v>
      </c>
      <c r="D97" s="25" t="s">
        <v>9</v>
      </c>
      <c r="E97" s="25" t="s">
        <v>10</v>
      </c>
      <c r="F97" s="25" t="s">
        <v>21</v>
      </c>
      <c r="G97" s="26"/>
      <c r="H97" s="43" t="s">
        <v>76</v>
      </c>
      <c r="I97" s="28" t="s">
        <v>15</v>
      </c>
      <c r="J97" s="29"/>
      <c r="K97" s="29"/>
      <c r="L97" s="30"/>
      <c r="M97" s="30"/>
      <c r="N97" s="30"/>
      <c r="O97" s="30"/>
      <c r="P97" s="30"/>
      <c r="Q97" s="30"/>
      <c r="R97" s="30"/>
      <c r="S97" s="30"/>
      <c r="T97" s="30"/>
      <c r="U97" s="30"/>
      <c r="V97" s="30"/>
      <c r="W97" s="30"/>
      <c r="X97" s="30"/>
      <c r="Y97" s="30"/>
      <c r="Z97" s="30"/>
    </row>
    <row r="98" ht="15.75" customHeight="1">
      <c r="A98" s="19"/>
      <c r="B98" s="83" t="s">
        <v>77</v>
      </c>
      <c r="C98" s="52"/>
      <c r="D98" s="74"/>
      <c r="E98" s="71"/>
      <c r="F98" s="52"/>
      <c r="G98" s="75"/>
      <c r="H98" s="76"/>
      <c r="I98" s="80">
        <f>I74</f>
        <v>162.55</v>
      </c>
      <c r="J98" s="15"/>
      <c r="K98" s="15"/>
      <c r="L98" s="78"/>
      <c r="M98" s="78"/>
      <c r="N98" s="78"/>
      <c r="O98" s="78"/>
      <c r="P98" s="78"/>
      <c r="Q98" s="78"/>
      <c r="R98" s="78"/>
      <c r="S98" s="78"/>
      <c r="T98" s="78"/>
      <c r="U98" s="78"/>
      <c r="V98" s="78"/>
      <c r="W98" s="78"/>
      <c r="X98" s="78"/>
      <c r="Y98" s="78"/>
      <c r="Z98" s="78"/>
    </row>
    <row r="99" ht="15.75" customHeight="1">
      <c r="A99" s="19"/>
      <c r="B99" s="83" t="s">
        <v>78</v>
      </c>
      <c r="C99" s="52"/>
      <c r="D99" s="74"/>
      <c r="E99" s="79" t="s">
        <v>79</v>
      </c>
      <c r="F99" s="52"/>
      <c r="G99" s="75"/>
      <c r="H99" s="76"/>
      <c r="I99" s="80">
        <f>I83</f>
        <v>1.3904</v>
      </c>
      <c r="J99" s="15"/>
      <c r="K99" s="15"/>
      <c r="L99" s="78"/>
      <c r="M99" s="78"/>
      <c r="N99" s="78"/>
      <c r="O99" s="78"/>
      <c r="P99" s="78"/>
      <c r="Q99" s="78"/>
      <c r="R99" s="78"/>
      <c r="S99" s="78"/>
      <c r="T99" s="78"/>
      <c r="U99" s="78"/>
      <c r="V99" s="78"/>
      <c r="W99" s="78"/>
      <c r="X99" s="78"/>
      <c r="Y99" s="78"/>
      <c r="Z99" s="78"/>
    </row>
    <row r="100" ht="15.75" customHeight="1">
      <c r="A100" s="19"/>
      <c r="B100" s="83" t="s">
        <v>80</v>
      </c>
      <c r="C100" s="52"/>
      <c r="D100" s="74"/>
      <c r="E100" s="71"/>
      <c r="F100" s="52"/>
      <c r="G100" s="75"/>
      <c r="H100" s="76"/>
      <c r="I100" s="80">
        <f>-SUM(I144,I268)</f>
        <v>-26.12</v>
      </c>
      <c r="J100" s="15"/>
      <c r="K100" s="15"/>
      <c r="L100" s="78"/>
      <c r="M100" s="78"/>
      <c r="N100" s="78"/>
      <c r="O100" s="78"/>
      <c r="P100" s="78"/>
      <c r="Q100" s="78"/>
      <c r="R100" s="78"/>
      <c r="S100" s="78"/>
      <c r="T100" s="78"/>
      <c r="U100" s="78"/>
      <c r="V100" s="78"/>
      <c r="W100" s="78"/>
      <c r="X100" s="78"/>
      <c r="Y100" s="78"/>
      <c r="Z100" s="78"/>
    </row>
    <row r="101" ht="15.75" customHeight="1">
      <c r="A101" s="19"/>
      <c r="B101" s="83" t="s">
        <v>81</v>
      </c>
      <c r="C101" s="52"/>
      <c r="D101" s="74"/>
      <c r="E101" s="71"/>
      <c r="F101" s="52"/>
      <c r="G101" s="75"/>
      <c r="H101" s="76"/>
      <c r="I101" s="80">
        <f>-I237</f>
        <v>-4.75</v>
      </c>
      <c r="J101" s="15"/>
      <c r="K101" s="15"/>
      <c r="L101" s="78"/>
      <c r="M101" s="78"/>
      <c r="N101" s="78"/>
      <c r="O101" s="78"/>
      <c r="P101" s="78"/>
      <c r="Q101" s="78"/>
      <c r="R101" s="78"/>
      <c r="S101" s="78"/>
      <c r="T101" s="78"/>
      <c r="U101" s="78"/>
      <c r="V101" s="78"/>
      <c r="W101" s="78"/>
      <c r="X101" s="78"/>
      <c r="Y101" s="78"/>
      <c r="Z101" s="78"/>
    </row>
    <row r="102" ht="15.75" customHeight="1">
      <c r="A102" s="19"/>
      <c r="B102" s="83" t="s">
        <v>82</v>
      </c>
      <c r="C102" s="52"/>
      <c r="D102" s="74"/>
      <c r="E102" s="71"/>
      <c r="F102" s="52"/>
      <c r="G102" s="75"/>
      <c r="H102" s="76"/>
      <c r="I102" s="80">
        <f>-I220</f>
        <v>-80.22</v>
      </c>
      <c r="J102" s="15"/>
      <c r="K102" s="15"/>
      <c r="L102" s="78"/>
      <c r="M102" s="78"/>
      <c r="N102" s="78"/>
      <c r="O102" s="78"/>
      <c r="P102" s="78"/>
      <c r="Q102" s="78"/>
      <c r="R102" s="78"/>
      <c r="S102" s="78"/>
      <c r="T102" s="78"/>
      <c r="U102" s="78"/>
      <c r="V102" s="78"/>
      <c r="W102" s="78"/>
      <c r="X102" s="78"/>
      <c r="Y102" s="78"/>
      <c r="Z102" s="78"/>
    </row>
    <row r="103" ht="15.75" customHeight="1">
      <c r="A103" s="19"/>
      <c r="B103" s="83" t="s">
        <v>83</v>
      </c>
      <c r="C103" s="52"/>
      <c r="D103" s="74"/>
      <c r="E103" s="71"/>
      <c r="F103" s="52"/>
      <c r="G103" s="75"/>
      <c r="H103" s="76"/>
      <c r="I103" s="80">
        <f>-I123*0.05</f>
        <v>-0.1877</v>
      </c>
      <c r="J103" s="15"/>
      <c r="K103" s="15"/>
      <c r="L103" s="78"/>
      <c r="M103" s="78"/>
      <c r="N103" s="78"/>
      <c r="O103" s="78"/>
      <c r="P103" s="78"/>
      <c r="Q103" s="78"/>
      <c r="R103" s="78"/>
      <c r="S103" s="78"/>
      <c r="T103" s="78"/>
      <c r="U103" s="78"/>
      <c r="V103" s="78"/>
      <c r="W103" s="78"/>
      <c r="X103" s="78"/>
      <c r="Y103" s="78"/>
      <c r="Z103" s="78"/>
    </row>
    <row r="104" ht="15.75" customHeight="1">
      <c r="A104" s="19"/>
      <c r="B104" s="73"/>
      <c r="C104" s="52"/>
      <c r="D104" s="74"/>
      <c r="E104" s="71"/>
      <c r="F104" s="52"/>
      <c r="G104" s="75"/>
      <c r="H104" s="76"/>
      <c r="I104" s="80">
        <f t="shared" ref="I104:I105" si="8">C104*D104*E104-H104</f>
        <v>0</v>
      </c>
      <c r="J104" s="15"/>
      <c r="K104" s="15"/>
      <c r="L104" s="78"/>
      <c r="M104" s="78"/>
      <c r="N104" s="78"/>
      <c r="O104" s="78"/>
      <c r="P104" s="78"/>
      <c r="Q104" s="78"/>
      <c r="R104" s="78"/>
      <c r="S104" s="78"/>
      <c r="T104" s="78"/>
      <c r="U104" s="78"/>
      <c r="V104" s="78"/>
      <c r="W104" s="78"/>
      <c r="X104" s="78"/>
      <c r="Y104" s="78"/>
      <c r="Z104" s="78"/>
    </row>
    <row r="105" ht="15.75" customHeight="1">
      <c r="A105" s="19"/>
      <c r="B105" s="73"/>
      <c r="C105" s="52"/>
      <c r="D105" s="74"/>
      <c r="E105" s="71"/>
      <c r="F105" s="52"/>
      <c r="G105" s="75"/>
      <c r="H105" s="76"/>
      <c r="I105" s="80">
        <f t="shared" si="8"/>
        <v>0</v>
      </c>
      <c r="J105" s="15"/>
      <c r="K105" s="15"/>
      <c r="L105" s="78"/>
      <c r="M105" s="78"/>
      <c r="N105" s="78"/>
      <c r="O105" s="78"/>
      <c r="P105" s="78"/>
      <c r="Q105" s="78"/>
      <c r="R105" s="78"/>
      <c r="S105" s="78"/>
      <c r="T105" s="78"/>
      <c r="U105" s="78"/>
      <c r="V105" s="78"/>
      <c r="W105" s="78"/>
      <c r="X105" s="78"/>
      <c r="Y105" s="78"/>
      <c r="Z105" s="78"/>
    </row>
    <row r="106" ht="15.75" customHeight="1">
      <c r="A106" s="19"/>
      <c r="B106" s="38" t="s">
        <v>37</v>
      </c>
      <c r="C106" s="39"/>
      <c r="D106" s="39"/>
      <c r="E106" s="39"/>
      <c r="F106" s="39"/>
      <c r="G106" s="39"/>
      <c r="H106" s="40"/>
      <c r="I106" s="41">
        <f>SUM(I98:I105)</f>
        <v>52.6627</v>
      </c>
      <c r="J106" s="22"/>
      <c r="K106" s="22"/>
      <c r="L106" s="23"/>
      <c r="M106" s="23"/>
      <c r="N106" s="23"/>
      <c r="O106" s="23"/>
      <c r="P106" s="23"/>
      <c r="Q106" s="23"/>
      <c r="R106" s="23"/>
      <c r="S106" s="23"/>
      <c r="T106" s="23"/>
      <c r="U106" s="23"/>
      <c r="V106" s="23"/>
      <c r="W106" s="23"/>
      <c r="X106" s="23"/>
      <c r="Y106" s="23"/>
      <c r="Z106" s="23"/>
    </row>
    <row r="107" ht="15.75" customHeight="1">
      <c r="A107" s="12"/>
      <c r="B107" s="42"/>
      <c r="C107" s="42"/>
      <c r="D107" s="68"/>
      <c r="E107" s="42"/>
      <c r="F107" s="42"/>
      <c r="G107" s="69"/>
      <c r="H107" s="42"/>
      <c r="I107" s="42"/>
      <c r="J107" s="4"/>
      <c r="K107" s="4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</row>
    <row r="108" ht="15.75" customHeight="1">
      <c r="A108" s="17" t="s">
        <v>84</v>
      </c>
      <c r="B108" s="42" t="s">
        <v>85</v>
      </c>
      <c r="J108" s="4"/>
      <c r="K108" s="4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</row>
    <row r="109" ht="15.75" customHeight="1">
      <c r="A109" s="12"/>
      <c r="B109" s="42"/>
      <c r="C109" s="42"/>
      <c r="D109" s="68"/>
      <c r="E109" s="42"/>
      <c r="F109" s="42"/>
      <c r="G109" s="69"/>
      <c r="H109" s="42"/>
      <c r="I109" s="42"/>
      <c r="J109" s="4"/>
      <c r="K109" s="4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</row>
    <row r="110" ht="15.75" customHeight="1">
      <c r="A110" s="19"/>
      <c r="B110" s="24" t="s">
        <v>6</v>
      </c>
      <c r="C110" s="25" t="s">
        <v>8</v>
      </c>
      <c r="D110" s="25" t="s">
        <v>9</v>
      </c>
      <c r="E110" s="25" t="s">
        <v>10</v>
      </c>
      <c r="F110" s="25" t="s">
        <v>21</v>
      </c>
      <c r="G110" s="84"/>
      <c r="H110" s="27"/>
      <c r="I110" s="85" t="s">
        <v>86</v>
      </c>
      <c r="J110" s="29"/>
      <c r="K110" s="29"/>
      <c r="L110" s="30"/>
      <c r="M110" s="30"/>
      <c r="N110" s="30"/>
      <c r="O110" s="30"/>
      <c r="P110" s="30"/>
      <c r="Q110" s="30"/>
      <c r="R110" s="30"/>
      <c r="S110" s="30"/>
      <c r="T110" s="30"/>
      <c r="U110" s="30"/>
      <c r="V110" s="30"/>
      <c r="W110" s="30"/>
      <c r="X110" s="30"/>
      <c r="Y110" s="30"/>
      <c r="Z110" s="30"/>
    </row>
    <row r="111" ht="15.75" customHeight="1">
      <c r="A111" s="19"/>
      <c r="B111" s="86" t="s">
        <v>87</v>
      </c>
      <c r="C111" s="52"/>
      <c r="D111" s="52">
        <f>(0.26-0.06-0.05)</f>
        <v>0.15</v>
      </c>
      <c r="E111" s="52"/>
      <c r="F111" s="87">
        <f>(387.035-17.8)</f>
        <v>369.235</v>
      </c>
      <c r="G111" s="53"/>
      <c r="H111" s="54"/>
      <c r="I111" s="55">
        <f>D111*F111</f>
        <v>55.38525</v>
      </c>
      <c r="J111" s="29"/>
      <c r="K111" s="29"/>
      <c r="L111" s="30"/>
      <c r="M111" s="30"/>
      <c r="N111" s="30"/>
      <c r="O111" s="30"/>
      <c r="P111" s="30"/>
      <c r="Q111" s="30"/>
      <c r="R111" s="30"/>
      <c r="S111" s="30"/>
      <c r="T111" s="30"/>
      <c r="U111" s="30"/>
      <c r="V111" s="30"/>
      <c r="W111" s="30"/>
      <c r="X111" s="30"/>
      <c r="Y111" s="30"/>
      <c r="Z111" s="30"/>
    </row>
    <row r="112" ht="15.75" customHeight="1">
      <c r="A112" s="19"/>
      <c r="B112" s="38" t="s">
        <v>27</v>
      </c>
      <c r="C112" s="39"/>
      <c r="D112" s="39"/>
      <c r="E112" s="39"/>
      <c r="F112" s="39"/>
      <c r="G112" s="39"/>
      <c r="H112" s="40"/>
      <c r="I112" s="41">
        <f>SUM(I111)</f>
        <v>55.38525</v>
      </c>
      <c r="J112" s="22"/>
      <c r="K112" s="22"/>
      <c r="L112" s="23"/>
      <c r="M112" s="23"/>
      <c r="N112" s="23"/>
      <c r="O112" s="23"/>
      <c r="P112" s="23"/>
      <c r="Q112" s="23"/>
      <c r="R112" s="23"/>
      <c r="S112" s="23"/>
      <c r="T112" s="23"/>
      <c r="U112" s="23"/>
      <c r="V112" s="23"/>
      <c r="W112" s="23"/>
      <c r="X112" s="23"/>
      <c r="Y112" s="23"/>
      <c r="Z112" s="23"/>
    </row>
    <row r="113" ht="15.75" customHeight="1">
      <c r="A113" s="12"/>
      <c r="B113" s="42"/>
      <c r="C113" s="42"/>
      <c r="D113" s="68"/>
      <c r="E113" s="42"/>
      <c r="F113" s="42"/>
      <c r="G113" s="69"/>
      <c r="H113" s="42"/>
      <c r="I113" s="42"/>
      <c r="J113" s="4"/>
      <c r="K113" s="4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</row>
    <row r="114" ht="15.75" customHeight="1">
      <c r="A114" s="17" t="s">
        <v>88</v>
      </c>
      <c r="B114" s="18" t="s">
        <v>89</v>
      </c>
      <c r="C114" s="15"/>
      <c r="D114" s="15"/>
      <c r="E114" s="15"/>
      <c r="F114" s="15"/>
      <c r="G114" s="16"/>
      <c r="H114" s="15"/>
      <c r="I114" s="15"/>
      <c r="J114" s="4"/>
      <c r="K114" s="4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</row>
    <row r="115" ht="15.75" customHeight="1">
      <c r="A115" s="12"/>
      <c r="B115" s="56"/>
      <c r="C115" s="15"/>
      <c r="D115" s="15"/>
      <c r="E115" s="15"/>
      <c r="F115" s="15"/>
      <c r="G115" s="16"/>
      <c r="H115" s="15"/>
      <c r="I115" s="15"/>
      <c r="J115" s="4"/>
      <c r="K115" s="4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</row>
    <row r="116" ht="15.0" customHeight="1">
      <c r="A116" s="17" t="s">
        <v>90</v>
      </c>
      <c r="B116" s="88" t="s">
        <v>91</v>
      </c>
      <c r="C116" s="89"/>
      <c r="D116" s="90"/>
      <c r="E116" s="89"/>
      <c r="F116" s="56"/>
      <c r="G116" s="91"/>
      <c r="H116" s="56"/>
      <c r="I116" s="90"/>
      <c r="J116" s="4"/>
      <c r="K116" s="4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</row>
    <row r="117" ht="15.75" customHeight="1">
      <c r="A117" s="12"/>
      <c r="B117" s="20"/>
      <c r="C117" s="15"/>
      <c r="D117" s="15"/>
      <c r="E117" s="15"/>
      <c r="F117" s="15"/>
      <c r="G117" s="16"/>
      <c r="H117" s="15"/>
      <c r="I117" s="15"/>
      <c r="J117" s="4"/>
      <c r="K117" s="4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</row>
    <row r="118" ht="15.75" customHeight="1">
      <c r="A118" s="19"/>
      <c r="B118" s="24"/>
      <c r="C118" s="25" t="s">
        <v>44</v>
      </c>
      <c r="D118" s="25" t="s">
        <v>9</v>
      </c>
      <c r="E118" s="25" t="s">
        <v>10</v>
      </c>
      <c r="F118" s="25" t="s">
        <v>45</v>
      </c>
      <c r="G118" s="26" t="s">
        <v>46</v>
      </c>
      <c r="H118" s="43"/>
      <c r="I118" s="28" t="s">
        <v>92</v>
      </c>
      <c r="J118" s="4"/>
      <c r="K118" s="4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</row>
    <row r="119" ht="15.75" customHeight="1">
      <c r="A119" s="19"/>
      <c r="B119" s="73" t="s">
        <v>67</v>
      </c>
      <c r="C119" s="52">
        <f t="shared" ref="C119:C120" si="9">3.55-1</f>
        <v>2.55</v>
      </c>
      <c r="D119" s="74">
        <v>0.2</v>
      </c>
      <c r="E119" s="71"/>
      <c r="F119" s="52"/>
      <c r="G119" s="75"/>
      <c r="H119" s="76"/>
      <c r="I119" s="80">
        <f t="shared" ref="I119:I122" si="10">C119*D119</f>
        <v>0.51</v>
      </c>
      <c r="J119" s="4"/>
      <c r="K119" s="4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</row>
    <row r="120" ht="15.75" customHeight="1">
      <c r="A120" s="19"/>
      <c r="B120" s="73" t="s">
        <v>68</v>
      </c>
      <c r="C120" s="52">
        <f t="shared" si="9"/>
        <v>2.55</v>
      </c>
      <c r="D120" s="74">
        <v>0.2</v>
      </c>
      <c r="E120" s="71"/>
      <c r="F120" s="52"/>
      <c r="G120" s="75"/>
      <c r="H120" s="76"/>
      <c r="I120" s="80">
        <f t="shared" si="10"/>
        <v>0.51</v>
      </c>
      <c r="J120" s="4"/>
      <c r="K120" s="4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</row>
    <row r="121" ht="15.75" customHeight="1">
      <c r="A121" s="19"/>
      <c r="B121" s="73" t="s">
        <v>69</v>
      </c>
      <c r="C121" s="52">
        <f>4.3-1+3.17-1+1.9-1</f>
        <v>6.37</v>
      </c>
      <c r="D121" s="74">
        <v>0.2</v>
      </c>
      <c r="E121" s="71"/>
      <c r="F121" s="52"/>
      <c r="G121" s="75"/>
      <c r="H121" s="76"/>
      <c r="I121" s="80">
        <f t="shared" si="10"/>
        <v>1.274</v>
      </c>
      <c r="J121" s="4"/>
      <c r="K121" s="4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</row>
    <row r="122" ht="15.75" customHeight="1">
      <c r="A122" s="19"/>
      <c r="B122" s="73" t="s">
        <v>70</v>
      </c>
      <c r="C122" s="52">
        <f>4.3-1+3.17-1+2.78-1+2.3-1+2.3-1</f>
        <v>9.85</v>
      </c>
      <c r="D122" s="74">
        <v>0.2</v>
      </c>
      <c r="E122" s="71"/>
      <c r="F122" s="52"/>
      <c r="G122" s="75"/>
      <c r="H122" s="76"/>
      <c r="I122" s="80">
        <f t="shared" si="10"/>
        <v>1.97</v>
      </c>
      <c r="J122" s="4"/>
      <c r="K122" s="4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</row>
    <row r="123" ht="15.75" customHeight="1">
      <c r="A123" s="19"/>
      <c r="B123" s="38" t="s">
        <v>93</v>
      </c>
      <c r="C123" s="39"/>
      <c r="D123" s="39"/>
      <c r="E123" s="39"/>
      <c r="F123" s="39"/>
      <c r="G123" s="39"/>
      <c r="H123" s="40"/>
      <c r="I123" s="41">
        <f>SUM(I120:I122)</f>
        <v>3.754</v>
      </c>
      <c r="J123" s="4"/>
      <c r="K123" s="4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</row>
    <row r="124" ht="15.75" customHeight="1">
      <c r="A124" s="12"/>
      <c r="B124" s="20"/>
      <c r="C124" s="15"/>
      <c r="D124" s="15"/>
      <c r="E124" s="15"/>
      <c r="F124" s="15"/>
      <c r="G124" s="16"/>
      <c r="H124" s="15"/>
      <c r="I124" s="15"/>
      <c r="J124" s="4"/>
      <c r="K124" s="4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</row>
    <row r="125" ht="15.0" customHeight="1">
      <c r="A125" s="17" t="s">
        <v>94</v>
      </c>
      <c r="B125" s="56" t="s">
        <v>95</v>
      </c>
      <c r="C125" s="89"/>
      <c r="D125" s="90"/>
      <c r="E125" s="89"/>
      <c r="F125" s="56"/>
      <c r="G125" s="91"/>
      <c r="H125" s="56"/>
      <c r="I125" s="90"/>
      <c r="J125" s="4"/>
      <c r="K125" s="4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</row>
    <row r="126" ht="15.75" customHeight="1">
      <c r="A126" s="12"/>
      <c r="B126" s="20"/>
      <c r="C126" s="15"/>
      <c r="D126" s="15"/>
      <c r="E126" s="15"/>
      <c r="F126" s="15"/>
      <c r="G126" s="16"/>
      <c r="H126" s="15"/>
      <c r="I126" s="15"/>
      <c r="J126" s="4"/>
      <c r="K126" s="4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</row>
    <row r="127" ht="15.75" customHeight="1">
      <c r="A127" s="19"/>
      <c r="B127" s="24" t="s">
        <v>6</v>
      </c>
      <c r="C127" s="25" t="s">
        <v>96</v>
      </c>
      <c r="D127" s="25" t="s">
        <v>10</v>
      </c>
      <c r="E127" s="43" t="s">
        <v>8</v>
      </c>
      <c r="F127" s="43" t="s">
        <v>9</v>
      </c>
      <c r="G127" s="26"/>
      <c r="H127" s="27"/>
      <c r="I127" s="85" t="s">
        <v>14</v>
      </c>
      <c r="J127" s="15"/>
      <c r="K127" s="15"/>
      <c r="L127" s="78"/>
      <c r="M127" s="78"/>
      <c r="N127" s="78"/>
      <c r="O127" s="78"/>
      <c r="P127" s="78"/>
      <c r="Q127" s="78"/>
      <c r="R127" s="78"/>
      <c r="S127" s="78"/>
      <c r="T127" s="78"/>
      <c r="U127" s="78"/>
      <c r="V127" s="78"/>
      <c r="W127" s="78"/>
      <c r="X127" s="78"/>
      <c r="Y127" s="78"/>
      <c r="Z127" s="78"/>
    </row>
    <row r="128" ht="15.75" customHeight="1">
      <c r="A128" s="19"/>
      <c r="B128" s="31" t="s">
        <v>97</v>
      </c>
      <c r="C128" s="52"/>
      <c r="D128" s="52"/>
      <c r="E128" s="52"/>
      <c r="F128" s="34"/>
      <c r="G128" s="35"/>
      <c r="H128" s="36"/>
      <c r="I128" s="92">
        <v>20.96</v>
      </c>
      <c r="J128" s="15"/>
      <c r="K128" s="15"/>
      <c r="L128" s="78"/>
      <c r="M128" s="78"/>
      <c r="N128" s="78"/>
      <c r="O128" s="78"/>
      <c r="P128" s="78"/>
      <c r="Q128" s="78"/>
      <c r="R128" s="78"/>
      <c r="S128" s="78"/>
      <c r="T128" s="78"/>
      <c r="U128" s="78"/>
      <c r="V128" s="78"/>
      <c r="W128" s="78"/>
      <c r="X128" s="78"/>
      <c r="Y128" s="78"/>
      <c r="Z128" s="78"/>
    </row>
    <row r="129" ht="15.75" customHeight="1">
      <c r="A129" s="19"/>
      <c r="B129" s="31" t="s">
        <v>98</v>
      </c>
      <c r="C129" s="93"/>
      <c r="D129" s="52"/>
      <c r="E129" s="52"/>
      <c r="F129" s="34"/>
      <c r="G129" s="35"/>
      <c r="H129" s="36"/>
      <c r="I129" s="92">
        <v>18.71</v>
      </c>
      <c r="J129" s="15"/>
      <c r="K129" s="15"/>
      <c r="L129" s="78"/>
      <c r="M129" s="78"/>
      <c r="N129" s="78"/>
      <c r="O129" s="78"/>
      <c r="P129" s="78"/>
      <c r="Q129" s="78"/>
      <c r="R129" s="78"/>
      <c r="S129" s="78"/>
      <c r="T129" s="78"/>
      <c r="U129" s="78"/>
      <c r="V129" s="78"/>
      <c r="W129" s="78"/>
      <c r="X129" s="78"/>
      <c r="Y129" s="78"/>
      <c r="Z129" s="78"/>
    </row>
    <row r="130" ht="15.75" customHeight="1">
      <c r="A130" s="19"/>
      <c r="B130" s="38" t="s">
        <v>99</v>
      </c>
      <c r="C130" s="39"/>
      <c r="D130" s="39"/>
      <c r="E130" s="39"/>
      <c r="F130" s="39"/>
      <c r="G130" s="39"/>
      <c r="H130" s="40"/>
      <c r="I130" s="41">
        <f>SUM(I128:I129)</f>
        <v>39.67</v>
      </c>
      <c r="J130" s="4"/>
      <c r="K130" s="4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</row>
    <row r="131" ht="15.75" customHeight="1">
      <c r="A131" s="19"/>
      <c r="B131" s="56"/>
      <c r="C131" s="90"/>
      <c r="D131" s="90"/>
      <c r="E131" s="90"/>
      <c r="F131" s="90"/>
      <c r="G131" s="91"/>
      <c r="H131" s="90"/>
      <c r="I131" s="90"/>
      <c r="J131" s="4"/>
      <c r="K131" s="4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</row>
    <row r="132" ht="15.0" customHeight="1">
      <c r="A132" s="17" t="s">
        <v>100</v>
      </c>
      <c r="B132" s="56" t="s">
        <v>101</v>
      </c>
      <c r="C132" s="89"/>
      <c r="D132" s="90"/>
      <c r="E132" s="89"/>
      <c r="F132" s="56"/>
      <c r="G132" s="91"/>
      <c r="H132" s="56"/>
      <c r="I132" s="90"/>
      <c r="J132" s="4"/>
      <c r="K132" s="4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</row>
    <row r="133" ht="15.75" customHeight="1">
      <c r="A133" s="12"/>
      <c r="B133" s="20"/>
      <c r="C133" s="15"/>
      <c r="D133" s="15"/>
      <c r="E133" s="15"/>
      <c r="F133" s="15"/>
      <c r="G133" s="16"/>
      <c r="H133" s="15"/>
      <c r="I133" s="15"/>
      <c r="J133" s="4"/>
      <c r="K133" s="4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</row>
    <row r="134" ht="15.75" customHeight="1">
      <c r="A134" s="19"/>
      <c r="B134" s="24" t="s">
        <v>6</v>
      </c>
      <c r="C134" s="25" t="s">
        <v>96</v>
      </c>
      <c r="D134" s="25" t="s">
        <v>10</v>
      </c>
      <c r="E134" s="43" t="s">
        <v>8</v>
      </c>
      <c r="F134" s="43" t="s">
        <v>9</v>
      </c>
      <c r="G134" s="26"/>
      <c r="H134" s="27"/>
      <c r="I134" s="85" t="s">
        <v>14</v>
      </c>
      <c r="J134" s="15"/>
      <c r="K134" s="15"/>
      <c r="L134" s="78"/>
      <c r="M134" s="78"/>
      <c r="N134" s="78"/>
      <c r="O134" s="78"/>
      <c r="P134" s="78"/>
      <c r="Q134" s="78"/>
      <c r="R134" s="78"/>
      <c r="S134" s="78"/>
      <c r="T134" s="78"/>
      <c r="U134" s="78"/>
      <c r="V134" s="78"/>
      <c r="W134" s="78"/>
      <c r="X134" s="78"/>
      <c r="Y134" s="78"/>
      <c r="Z134" s="78"/>
    </row>
    <row r="135" ht="15.75" customHeight="1">
      <c r="A135" s="19"/>
      <c r="B135" s="31" t="s">
        <v>102</v>
      </c>
      <c r="C135" s="52"/>
      <c r="D135" s="52"/>
      <c r="E135" s="52"/>
      <c r="F135" s="34"/>
      <c r="G135" s="35"/>
      <c r="H135" s="36"/>
      <c r="I135" s="92">
        <v>53.58</v>
      </c>
      <c r="J135" s="15"/>
      <c r="K135" s="15"/>
      <c r="L135" s="78"/>
      <c r="M135" s="78"/>
      <c r="N135" s="78"/>
      <c r="O135" s="78"/>
      <c r="P135" s="78"/>
      <c r="Q135" s="78"/>
      <c r="R135" s="78"/>
      <c r="S135" s="78"/>
      <c r="T135" s="78"/>
      <c r="U135" s="78"/>
      <c r="V135" s="78"/>
      <c r="W135" s="78"/>
      <c r="X135" s="78"/>
      <c r="Y135" s="78"/>
      <c r="Z135" s="78"/>
    </row>
    <row r="136" ht="15.75" customHeight="1">
      <c r="A136" s="19"/>
      <c r="B136" s="31" t="s">
        <v>103</v>
      </c>
      <c r="C136" s="93"/>
      <c r="D136" s="52"/>
      <c r="E136" s="52"/>
      <c r="F136" s="34"/>
      <c r="G136" s="35"/>
      <c r="H136" s="36"/>
      <c r="I136" s="92">
        <v>12.76</v>
      </c>
      <c r="J136" s="15"/>
      <c r="K136" s="15"/>
      <c r="L136" s="78"/>
      <c r="M136" s="78"/>
      <c r="N136" s="78"/>
      <c r="O136" s="78"/>
      <c r="P136" s="78"/>
      <c r="Q136" s="78"/>
      <c r="R136" s="78"/>
      <c r="S136" s="78"/>
      <c r="T136" s="78"/>
      <c r="U136" s="78"/>
      <c r="V136" s="78"/>
      <c r="W136" s="78"/>
      <c r="X136" s="78"/>
      <c r="Y136" s="78"/>
      <c r="Z136" s="78"/>
    </row>
    <row r="137" ht="15.75" customHeight="1">
      <c r="A137" s="19"/>
      <c r="B137" s="38" t="s">
        <v>14</v>
      </c>
      <c r="C137" s="39"/>
      <c r="D137" s="39"/>
      <c r="E137" s="39"/>
      <c r="F137" s="39"/>
      <c r="G137" s="39"/>
      <c r="H137" s="40"/>
      <c r="I137" s="41">
        <f>SUM(I135:I136)</f>
        <v>66.34</v>
      </c>
      <c r="J137" s="4"/>
      <c r="K137" s="4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</row>
    <row r="138" ht="15.75" customHeight="1">
      <c r="A138" s="19"/>
      <c r="B138" s="56"/>
      <c r="C138" s="90"/>
      <c r="D138" s="90"/>
      <c r="E138" s="90"/>
      <c r="F138" s="90"/>
      <c r="G138" s="91"/>
      <c r="H138" s="90"/>
      <c r="I138" s="90"/>
      <c r="J138" s="4"/>
      <c r="K138" s="4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</row>
    <row r="139">
      <c r="A139" s="17" t="s">
        <v>104</v>
      </c>
      <c r="B139" s="42" t="s">
        <v>105</v>
      </c>
      <c r="J139" s="4"/>
      <c r="K139" s="4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</row>
    <row r="140" ht="15.75" customHeight="1">
      <c r="A140" s="12"/>
      <c r="B140" s="42"/>
      <c r="C140" s="42"/>
      <c r="D140" s="68"/>
      <c r="E140" s="42"/>
      <c r="F140" s="42"/>
      <c r="G140" s="69"/>
      <c r="H140" s="42"/>
      <c r="I140" s="42"/>
      <c r="J140" s="4"/>
      <c r="K140" s="4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</row>
    <row r="141" ht="15.75" customHeight="1">
      <c r="A141" s="19"/>
      <c r="B141" s="24" t="s">
        <v>6</v>
      </c>
      <c r="C141" s="25" t="s">
        <v>8</v>
      </c>
      <c r="D141" s="25" t="s">
        <v>9</v>
      </c>
      <c r="E141" s="25" t="s">
        <v>10</v>
      </c>
      <c r="F141" s="25" t="s">
        <v>21</v>
      </c>
      <c r="G141" s="84"/>
      <c r="H141" s="27"/>
      <c r="I141" s="85" t="s">
        <v>86</v>
      </c>
      <c r="J141" s="29"/>
      <c r="K141" s="29"/>
      <c r="L141" s="30"/>
      <c r="M141" s="30"/>
      <c r="N141" s="30"/>
      <c r="O141" s="30"/>
      <c r="P141" s="30"/>
      <c r="Q141" s="30"/>
      <c r="R141" s="30"/>
      <c r="S141" s="30"/>
      <c r="T141" s="30"/>
      <c r="U141" s="30"/>
      <c r="V141" s="30"/>
      <c r="W141" s="30"/>
      <c r="X141" s="30"/>
      <c r="Y141" s="30"/>
      <c r="Z141" s="30"/>
    </row>
    <row r="142" ht="15.75" customHeight="1">
      <c r="A142" s="19"/>
      <c r="B142" s="31" t="s">
        <v>97</v>
      </c>
      <c r="C142" s="52"/>
      <c r="D142" s="52"/>
      <c r="E142" s="52"/>
      <c r="F142" s="76"/>
      <c r="G142" s="53"/>
      <c r="H142" s="54"/>
      <c r="I142" s="55">
        <v>9.72</v>
      </c>
      <c r="J142" s="29"/>
      <c r="K142" s="29"/>
      <c r="L142" s="30"/>
      <c r="M142" s="30"/>
      <c r="N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</row>
    <row r="143" ht="15.75" customHeight="1">
      <c r="A143" s="19"/>
      <c r="B143" s="31" t="s">
        <v>98</v>
      </c>
      <c r="C143" s="52"/>
      <c r="D143" s="52"/>
      <c r="E143" s="52"/>
      <c r="F143" s="52"/>
      <c r="G143" s="53"/>
      <c r="H143" s="54"/>
      <c r="I143" s="55">
        <v>7.78</v>
      </c>
      <c r="J143" s="29"/>
      <c r="K143" s="29"/>
      <c r="L143" s="30"/>
      <c r="M143" s="30"/>
      <c r="N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</row>
    <row r="144" ht="15.75" customHeight="1">
      <c r="A144" s="19"/>
      <c r="B144" s="38" t="s">
        <v>27</v>
      </c>
      <c r="C144" s="39"/>
      <c r="D144" s="39"/>
      <c r="E144" s="39"/>
      <c r="F144" s="39"/>
      <c r="G144" s="39"/>
      <c r="H144" s="40"/>
      <c r="I144" s="41">
        <f>SUM(I142:I143)</f>
        <v>17.5</v>
      </c>
      <c r="J144" s="22"/>
      <c r="K144" s="22"/>
      <c r="L144" s="23"/>
      <c r="M144" s="23"/>
      <c r="N144" s="23"/>
      <c r="O144" s="23"/>
      <c r="P144" s="23"/>
      <c r="Q144" s="23"/>
      <c r="R144" s="23"/>
      <c r="S144" s="23"/>
      <c r="T144" s="23"/>
      <c r="U144" s="23"/>
      <c r="V144" s="23"/>
      <c r="W144" s="23"/>
      <c r="X144" s="23"/>
      <c r="Y144" s="23"/>
      <c r="Z144" s="23"/>
    </row>
    <row r="145" ht="15.75" customHeight="1">
      <c r="A145" s="12"/>
      <c r="B145" s="42"/>
      <c r="C145" s="42"/>
      <c r="D145" s="68"/>
      <c r="E145" s="42"/>
      <c r="F145" s="42"/>
      <c r="G145" s="69"/>
      <c r="H145" s="42"/>
      <c r="I145" s="42"/>
      <c r="J145" s="4"/>
      <c r="K145" s="4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</row>
    <row r="146" ht="15.0" customHeight="1">
      <c r="A146" s="17" t="s">
        <v>106</v>
      </c>
      <c r="B146" s="88" t="s">
        <v>107</v>
      </c>
      <c r="C146" s="89"/>
      <c r="D146" s="90"/>
      <c r="E146" s="89"/>
      <c r="F146" s="56"/>
      <c r="G146" s="91"/>
      <c r="H146" s="56"/>
      <c r="I146" s="90"/>
      <c r="J146" s="4"/>
      <c r="K146" s="4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</row>
    <row r="147" ht="15.75" customHeight="1">
      <c r="A147" s="12"/>
      <c r="B147" s="20"/>
      <c r="C147" s="15"/>
      <c r="D147" s="15"/>
      <c r="E147" s="15"/>
      <c r="F147" s="15"/>
      <c r="G147" s="16"/>
      <c r="H147" s="15"/>
      <c r="I147" s="15"/>
      <c r="J147" s="4"/>
      <c r="K147" s="4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</row>
    <row r="148" ht="15.75" customHeight="1">
      <c r="A148" s="19"/>
      <c r="B148" s="24" t="s">
        <v>6</v>
      </c>
      <c r="C148" s="25" t="s">
        <v>7</v>
      </c>
      <c r="D148" s="43" t="s">
        <v>8</v>
      </c>
      <c r="E148" s="43" t="s">
        <v>108</v>
      </c>
      <c r="F148" s="43" t="s">
        <v>9</v>
      </c>
      <c r="G148" s="94" t="s">
        <v>109</v>
      </c>
      <c r="H148" s="27"/>
      <c r="I148" s="85" t="s">
        <v>110</v>
      </c>
      <c r="J148" s="15"/>
      <c r="K148" s="15"/>
      <c r="L148" s="78"/>
      <c r="M148" s="78"/>
      <c r="N148" s="78"/>
      <c r="O148" s="78"/>
      <c r="P148" s="78"/>
      <c r="Q148" s="78"/>
      <c r="R148" s="78"/>
      <c r="S148" s="78"/>
      <c r="T148" s="78"/>
      <c r="U148" s="78"/>
      <c r="V148" s="78"/>
      <c r="W148" s="78"/>
      <c r="X148" s="78"/>
      <c r="Y148" s="78"/>
      <c r="Z148" s="78"/>
    </row>
    <row r="149" ht="15.75" customHeight="1">
      <c r="A149" s="19"/>
      <c r="B149" s="57" t="s">
        <v>102</v>
      </c>
      <c r="C149" s="93"/>
      <c r="D149" s="60">
        <v>292.0</v>
      </c>
      <c r="E149" s="60"/>
      <c r="F149" s="34"/>
      <c r="G149" s="95">
        <v>0.154</v>
      </c>
      <c r="H149" s="36"/>
      <c r="I149" s="92">
        <f t="shared" ref="I149:I150" si="11">D149*G149</f>
        <v>44.968</v>
      </c>
      <c r="J149" s="15"/>
      <c r="K149" s="15"/>
      <c r="L149" s="78"/>
      <c r="M149" s="78"/>
      <c r="N149" s="78"/>
      <c r="O149" s="78"/>
      <c r="P149" s="78"/>
      <c r="Q149" s="78"/>
      <c r="R149" s="78"/>
      <c r="S149" s="78"/>
      <c r="T149" s="78"/>
      <c r="U149" s="78"/>
      <c r="V149" s="78"/>
      <c r="W149" s="78"/>
      <c r="X149" s="78"/>
      <c r="Y149" s="78"/>
      <c r="Z149" s="78"/>
    </row>
    <row r="150" ht="15.75" customHeight="1">
      <c r="A150" s="19"/>
      <c r="B150" s="57" t="s">
        <v>103</v>
      </c>
      <c r="C150" s="93"/>
      <c r="D150" s="60">
        <v>151.4</v>
      </c>
      <c r="E150" s="52"/>
      <c r="F150" s="34"/>
      <c r="G150" s="95">
        <v>0.154</v>
      </c>
      <c r="H150" s="36"/>
      <c r="I150" s="92">
        <f t="shared" si="11"/>
        <v>23.3156</v>
      </c>
      <c r="J150" s="15"/>
      <c r="K150" s="15"/>
      <c r="L150" s="78"/>
      <c r="M150" s="78"/>
      <c r="N150" s="78"/>
      <c r="O150" s="78"/>
      <c r="P150" s="78"/>
      <c r="Q150" s="78"/>
      <c r="R150" s="78"/>
      <c r="S150" s="78"/>
      <c r="T150" s="78"/>
      <c r="U150" s="78"/>
      <c r="V150" s="78"/>
      <c r="W150" s="78"/>
      <c r="X150" s="78"/>
      <c r="Y150" s="78"/>
      <c r="Z150" s="78"/>
    </row>
    <row r="151" ht="15.75" customHeight="1">
      <c r="A151" s="19"/>
      <c r="B151" s="31"/>
      <c r="C151" s="93"/>
      <c r="D151" s="52"/>
      <c r="E151" s="52"/>
      <c r="F151" s="34"/>
      <c r="G151" s="35"/>
      <c r="H151" s="36"/>
      <c r="I151" s="92">
        <f>C151*D151*E151*F151</f>
        <v>0</v>
      </c>
      <c r="J151" s="15"/>
      <c r="K151" s="15"/>
      <c r="L151" s="78"/>
      <c r="M151" s="78"/>
      <c r="N151" s="78"/>
      <c r="O151" s="78"/>
      <c r="P151" s="78"/>
      <c r="Q151" s="78"/>
      <c r="R151" s="78"/>
      <c r="S151" s="78"/>
      <c r="T151" s="78"/>
      <c r="U151" s="78"/>
      <c r="V151" s="78"/>
      <c r="W151" s="78"/>
      <c r="X151" s="78"/>
      <c r="Y151" s="78"/>
      <c r="Z151" s="78"/>
    </row>
    <row r="152" ht="15.75" customHeight="1">
      <c r="A152" s="19"/>
      <c r="B152" s="38" t="s">
        <v>111</v>
      </c>
      <c r="C152" s="39"/>
      <c r="D152" s="39"/>
      <c r="E152" s="39"/>
      <c r="F152" s="39"/>
      <c r="G152" s="39"/>
      <c r="H152" s="40"/>
      <c r="I152" s="41">
        <f>ROUNDUP(SUM(I149:I151),2)</f>
        <v>68.29</v>
      </c>
      <c r="J152" s="4"/>
      <c r="K152" s="4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</row>
    <row r="153" ht="15.75" customHeight="1">
      <c r="A153" s="19"/>
      <c r="B153" s="56"/>
      <c r="C153" s="90"/>
      <c r="D153" s="90"/>
      <c r="E153" s="90"/>
      <c r="F153" s="90"/>
      <c r="G153" s="91"/>
      <c r="H153" s="90"/>
      <c r="I153" s="90"/>
      <c r="J153" s="4"/>
      <c r="K153" s="4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</row>
    <row r="154" ht="15.0" customHeight="1">
      <c r="A154" s="17" t="s">
        <v>112</v>
      </c>
      <c r="B154" s="88" t="s">
        <v>113</v>
      </c>
      <c r="C154" s="89"/>
      <c r="D154" s="90"/>
      <c r="E154" s="89"/>
      <c r="F154" s="56"/>
      <c r="G154" s="91"/>
      <c r="H154" s="56"/>
      <c r="I154" s="90"/>
      <c r="J154" s="4"/>
      <c r="K154" s="4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</row>
    <row r="155" ht="15.75" customHeight="1">
      <c r="A155" s="12"/>
      <c r="B155" s="20"/>
      <c r="C155" s="15"/>
      <c r="D155" s="15"/>
      <c r="E155" s="15"/>
      <c r="F155" s="15"/>
      <c r="G155" s="16"/>
      <c r="H155" s="15"/>
      <c r="I155" s="15"/>
      <c r="J155" s="4"/>
      <c r="K155" s="4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</row>
    <row r="156" ht="15.75" customHeight="1">
      <c r="A156" s="19"/>
      <c r="B156" s="24" t="s">
        <v>6</v>
      </c>
      <c r="C156" s="25" t="s">
        <v>7</v>
      </c>
      <c r="D156" s="43" t="s">
        <v>8</v>
      </c>
      <c r="E156" s="43" t="s">
        <v>108</v>
      </c>
      <c r="F156" s="43" t="s">
        <v>9</v>
      </c>
      <c r="G156" s="94" t="s">
        <v>109</v>
      </c>
      <c r="H156" s="27"/>
      <c r="I156" s="85" t="s">
        <v>110</v>
      </c>
      <c r="J156" s="15"/>
      <c r="K156" s="15"/>
      <c r="L156" s="78"/>
      <c r="M156" s="78"/>
      <c r="N156" s="78"/>
      <c r="O156" s="78"/>
      <c r="P156" s="78"/>
      <c r="Q156" s="78"/>
      <c r="R156" s="78"/>
      <c r="S156" s="78"/>
      <c r="T156" s="78"/>
      <c r="U156" s="78"/>
      <c r="V156" s="78"/>
      <c r="W156" s="78"/>
      <c r="X156" s="78"/>
      <c r="Y156" s="78"/>
      <c r="Z156" s="78"/>
    </row>
    <row r="157" ht="15.75" customHeight="1">
      <c r="A157" s="19"/>
      <c r="B157" s="57" t="s">
        <v>102</v>
      </c>
      <c r="C157" s="93"/>
      <c r="D157" s="60">
        <v>181.4</v>
      </c>
      <c r="E157" s="52"/>
      <c r="F157" s="34"/>
      <c r="G157" s="95">
        <v>0.245</v>
      </c>
      <c r="H157" s="36"/>
      <c r="I157" s="92">
        <f t="shared" ref="I157:I158" si="12">D157*G157</f>
        <v>44.443</v>
      </c>
      <c r="J157" s="15"/>
      <c r="K157" s="15"/>
      <c r="L157" s="78"/>
      <c r="M157" s="78"/>
      <c r="N157" s="78"/>
      <c r="O157" s="78"/>
      <c r="P157" s="78"/>
      <c r="Q157" s="78"/>
      <c r="R157" s="78"/>
      <c r="S157" s="78"/>
      <c r="T157" s="78"/>
      <c r="U157" s="78"/>
      <c r="V157" s="78"/>
      <c r="W157" s="78"/>
      <c r="X157" s="78"/>
      <c r="Y157" s="78"/>
      <c r="Z157" s="78"/>
    </row>
    <row r="158" ht="15.75" customHeight="1">
      <c r="A158" s="19"/>
      <c r="B158" s="57" t="s">
        <v>103</v>
      </c>
      <c r="C158" s="96"/>
      <c r="D158" s="62">
        <v>44.8</v>
      </c>
      <c r="E158" s="97"/>
      <c r="F158" s="97"/>
      <c r="G158" s="95">
        <v>0.245</v>
      </c>
      <c r="H158" s="98"/>
      <c r="I158" s="92">
        <f t="shared" si="12"/>
        <v>10.976</v>
      </c>
      <c r="J158" s="4"/>
      <c r="K158" s="4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</row>
    <row r="159" ht="15.75" customHeight="1">
      <c r="A159" s="19"/>
      <c r="B159" s="38" t="s">
        <v>111</v>
      </c>
      <c r="C159" s="39"/>
      <c r="D159" s="39"/>
      <c r="E159" s="39"/>
      <c r="F159" s="39"/>
      <c r="G159" s="39"/>
      <c r="H159" s="40"/>
      <c r="I159" s="41">
        <f>ROUNDUP(SUM(I157:I158),2)</f>
        <v>55.42</v>
      </c>
      <c r="J159" s="4"/>
      <c r="K159" s="4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</row>
    <row r="160" ht="15.75" customHeight="1">
      <c r="A160" s="19"/>
      <c r="B160" s="56"/>
      <c r="C160" s="90"/>
      <c r="D160" s="90"/>
      <c r="E160" s="90"/>
      <c r="F160" s="90"/>
      <c r="G160" s="91"/>
      <c r="H160" s="90"/>
      <c r="I160" s="90"/>
      <c r="J160" s="4"/>
      <c r="K160" s="4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</row>
    <row r="161" ht="15.0" customHeight="1">
      <c r="A161" s="17" t="s">
        <v>114</v>
      </c>
      <c r="B161" s="88" t="s">
        <v>115</v>
      </c>
      <c r="C161" s="89"/>
      <c r="D161" s="90"/>
      <c r="E161" s="89"/>
      <c r="F161" s="56"/>
      <c r="G161" s="91"/>
      <c r="H161" s="56"/>
      <c r="I161" s="90"/>
      <c r="J161" s="4"/>
      <c r="K161" s="4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</row>
    <row r="162" ht="15.75" customHeight="1">
      <c r="A162" s="12"/>
      <c r="B162" s="20"/>
      <c r="C162" s="15"/>
      <c r="D162" s="15"/>
      <c r="E162" s="15"/>
      <c r="F162" s="15"/>
      <c r="G162" s="16"/>
      <c r="H162" s="15"/>
      <c r="I162" s="15"/>
      <c r="J162" s="4"/>
      <c r="K162" s="4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</row>
    <row r="163" ht="15.75" customHeight="1">
      <c r="A163" s="19"/>
      <c r="B163" s="24" t="s">
        <v>6</v>
      </c>
      <c r="C163" s="25" t="s">
        <v>7</v>
      </c>
      <c r="D163" s="43" t="s">
        <v>8</v>
      </c>
      <c r="E163" s="43" t="s">
        <v>108</v>
      </c>
      <c r="F163" s="43" t="s">
        <v>9</v>
      </c>
      <c r="G163" s="94" t="s">
        <v>109</v>
      </c>
      <c r="H163" s="27"/>
      <c r="I163" s="85" t="s">
        <v>110</v>
      </c>
      <c r="J163" s="15"/>
      <c r="K163" s="15"/>
      <c r="L163" s="78"/>
      <c r="M163" s="78"/>
      <c r="N163" s="78"/>
      <c r="O163" s="78"/>
      <c r="P163" s="78"/>
      <c r="Q163" s="78"/>
      <c r="R163" s="78"/>
      <c r="S163" s="78"/>
      <c r="T163" s="78"/>
      <c r="U163" s="78"/>
      <c r="V163" s="78"/>
      <c r="W163" s="78"/>
      <c r="X163" s="78"/>
      <c r="Y163" s="78"/>
      <c r="Z163" s="78"/>
    </row>
    <row r="164" ht="15.75" customHeight="1">
      <c r="A164" s="19"/>
      <c r="B164" s="31" t="s">
        <v>97</v>
      </c>
      <c r="C164" s="93"/>
      <c r="D164" s="52">
        <v>450.9</v>
      </c>
      <c r="E164" s="52"/>
      <c r="F164" s="34"/>
      <c r="G164" s="35">
        <v>0.395</v>
      </c>
      <c r="H164" s="36"/>
      <c r="I164" s="92">
        <f t="shared" ref="I164:I168" si="13">D164*G164</f>
        <v>178.1055</v>
      </c>
      <c r="J164" s="15"/>
      <c r="K164" s="15"/>
      <c r="L164" s="78"/>
      <c r="M164" s="78"/>
      <c r="N164" s="78"/>
      <c r="O164" s="78"/>
      <c r="P164" s="78"/>
      <c r="Q164" s="78"/>
      <c r="R164" s="78"/>
      <c r="S164" s="78"/>
      <c r="T164" s="78"/>
      <c r="U164" s="78"/>
      <c r="V164" s="78"/>
      <c r="W164" s="78"/>
      <c r="X164" s="78"/>
      <c r="Y164" s="78"/>
      <c r="Z164" s="78"/>
    </row>
    <row r="165" ht="15.75" customHeight="1">
      <c r="A165" s="19"/>
      <c r="B165" s="31" t="s">
        <v>98</v>
      </c>
      <c r="C165" s="93"/>
      <c r="D165" s="52">
        <v>420.7</v>
      </c>
      <c r="E165" s="52"/>
      <c r="F165" s="34"/>
      <c r="G165" s="35">
        <v>0.395</v>
      </c>
      <c r="H165" s="36"/>
      <c r="I165" s="92">
        <f t="shared" si="13"/>
        <v>166.1765</v>
      </c>
      <c r="J165" s="15"/>
      <c r="K165" s="15"/>
      <c r="L165" s="78"/>
      <c r="M165" s="78"/>
      <c r="N165" s="78"/>
      <c r="O165" s="78"/>
      <c r="P165" s="78"/>
      <c r="Q165" s="78"/>
      <c r="R165" s="78"/>
      <c r="S165" s="78"/>
      <c r="T165" s="78"/>
      <c r="U165" s="78"/>
      <c r="V165" s="78"/>
      <c r="W165" s="78"/>
      <c r="X165" s="78"/>
      <c r="Y165" s="78"/>
      <c r="Z165" s="78"/>
    </row>
    <row r="166" ht="15.75" customHeight="1">
      <c r="A166" s="19"/>
      <c r="B166" s="57" t="s">
        <v>102</v>
      </c>
      <c r="C166" s="93"/>
      <c r="D166" s="60">
        <v>26.7</v>
      </c>
      <c r="E166" s="52"/>
      <c r="F166" s="34"/>
      <c r="G166" s="95">
        <v>0.395</v>
      </c>
      <c r="H166" s="36"/>
      <c r="I166" s="92">
        <f t="shared" si="13"/>
        <v>10.5465</v>
      </c>
      <c r="J166" s="15"/>
      <c r="K166" s="15"/>
      <c r="L166" s="78"/>
      <c r="M166" s="78"/>
      <c r="N166" s="78"/>
      <c r="O166" s="78"/>
      <c r="P166" s="78"/>
      <c r="Q166" s="78"/>
      <c r="R166" s="78"/>
      <c r="S166" s="78"/>
      <c r="T166" s="78"/>
      <c r="U166" s="78"/>
      <c r="V166" s="78"/>
      <c r="W166" s="78"/>
      <c r="X166" s="78"/>
      <c r="Y166" s="78"/>
      <c r="Z166" s="78"/>
    </row>
    <row r="167" ht="15.75" customHeight="1">
      <c r="A167" s="19"/>
      <c r="B167" s="31"/>
      <c r="C167" s="93"/>
      <c r="D167" s="52"/>
      <c r="E167" s="52"/>
      <c r="F167" s="34"/>
      <c r="G167" s="35"/>
      <c r="H167" s="36"/>
      <c r="I167" s="92">
        <f t="shared" si="13"/>
        <v>0</v>
      </c>
      <c r="J167" s="15"/>
      <c r="K167" s="15"/>
      <c r="L167" s="78"/>
      <c r="M167" s="78"/>
      <c r="N167" s="78"/>
      <c r="O167" s="78"/>
      <c r="P167" s="78"/>
      <c r="Q167" s="78"/>
      <c r="R167" s="78"/>
      <c r="S167" s="78"/>
      <c r="T167" s="78"/>
      <c r="U167" s="78"/>
      <c r="V167" s="78"/>
      <c r="W167" s="78"/>
      <c r="X167" s="78"/>
      <c r="Y167" s="78"/>
      <c r="Z167" s="78"/>
    </row>
    <row r="168" ht="15.75" customHeight="1">
      <c r="A168" s="19"/>
      <c r="B168" s="31"/>
      <c r="C168" s="93"/>
      <c r="D168" s="52"/>
      <c r="E168" s="52"/>
      <c r="F168" s="34"/>
      <c r="G168" s="35"/>
      <c r="H168" s="36"/>
      <c r="I168" s="92">
        <f t="shared" si="13"/>
        <v>0</v>
      </c>
      <c r="J168" s="15"/>
      <c r="K168" s="15"/>
      <c r="L168" s="78"/>
      <c r="M168" s="78"/>
      <c r="N168" s="78"/>
      <c r="O168" s="78"/>
      <c r="P168" s="78"/>
      <c r="Q168" s="78"/>
      <c r="R168" s="78"/>
      <c r="S168" s="78"/>
      <c r="T168" s="78"/>
      <c r="U168" s="78"/>
      <c r="V168" s="78"/>
      <c r="W168" s="78"/>
      <c r="X168" s="78"/>
      <c r="Y168" s="78"/>
      <c r="Z168" s="78"/>
    </row>
    <row r="169" ht="15.75" customHeight="1">
      <c r="A169" s="19"/>
      <c r="B169" s="38" t="s">
        <v>111</v>
      </c>
      <c r="C169" s="39"/>
      <c r="D169" s="39"/>
      <c r="E169" s="39"/>
      <c r="F169" s="39"/>
      <c r="G169" s="39"/>
      <c r="H169" s="40"/>
      <c r="I169" s="41">
        <f>ROUNDUP(SUM(I164:I168),2)</f>
        <v>354.83</v>
      </c>
      <c r="J169" s="4"/>
      <c r="K169" s="4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</row>
    <row r="170" ht="15.75" customHeight="1">
      <c r="A170" s="19"/>
      <c r="B170" s="56"/>
      <c r="C170" s="90"/>
      <c r="D170" s="90"/>
      <c r="E170" s="90"/>
      <c r="F170" s="90"/>
      <c r="G170" s="91"/>
      <c r="H170" s="90"/>
      <c r="I170" s="90"/>
      <c r="J170" s="4"/>
      <c r="K170" s="4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</row>
    <row r="171" ht="15.0" customHeight="1">
      <c r="A171" s="17" t="s">
        <v>116</v>
      </c>
      <c r="B171" s="88" t="s">
        <v>117</v>
      </c>
      <c r="C171" s="89"/>
      <c r="D171" s="90"/>
      <c r="E171" s="89"/>
      <c r="F171" s="56"/>
      <c r="G171" s="91"/>
      <c r="H171" s="56"/>
      <c r="I171" s="90"/>
      <c r="J171" s="4"/>
      <c r="K171" s="4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</row>
    <row r="172" ht="15.75" customHeight="1">
      <c r="A172" s="12"/>
      <c r="B172" s="20"/>
      <c r="C172" s="15"/>
      <c r="D172" s="15"/>
      <c r="E172" s="15"/>
      <c r="F172" s="15"/>
      <c r="G172" s="16"/>
      <c r="H172" s="15"/>
      <c r="I172" s="15"/>
      <c r="J172" s="4"/>
      <c r="K172" s="4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</row>
    <row r="173" ht="15.75" customHeight="1">
      <c r="A173" s="19"/>
      <c r="B173" s="24" t="s">
        <v>6</v>
      </c>
      <c r="C173" s="25" t="s">
        <v>7</v>
      </c>
      <c r="D173" s="43" t="s">
        <v>8</v>
      </c>
      <c r="E173" s="43" t="s">
        <v>108</v>
      </c>
      <c r="F173" s="43" t="s">
        <v>9</v>
      </c>
      <c r="G173" s="94" t="s">
        <v>109</v>
      </c>
      <c r="H173" s="27"/>
      <c r="I173" s="85" t="s">
        <v>110</v>
      </c>
      <c r="J173" s="15"/>
      <c r="K173" s="15"/>
      <c r="L173" s="78"/>
      <c r="M173" s="78"/>
      <c r="N173" s="78"/>
      <c r="O173" s="78"/>
      <c r="P173" s="78"/>
      <c r="Q173" s="78"/>
      <c r="R173" s="78"/>
      <c r="S173" s="78"/>
      <c r="T173" s="78"/>
      <c r="U173" s="78"/>
      <c r="V173" s="78"/>
      <c r="W173" s="78"/>
      <c r="X173" s="78"/>
      <c r="Y173" s="78"/>
      <c r="Z173" s="78"/>
    </row>
    <row r="174" ht="15.75" customHeight="1">
      <c r="A174" s="19"/>
      <c r="B174" s="57" t="s">
        <v>102</v>
      </c>
      <c r="C174" s="93"/>
      <c r="D174" s="60">
        <v>44.1</v>
      </c>
      <c r="E174" s="52"/>
      <c r="F174" s="34"/>
      <c r="G174" s="95">
        <v>0.617</v>
      </c>
      <c r="H174" s="36"/>
      <c r="I174" s="92">
        <f t="shared" ref="I174:I175" si="14">G174*D174</f>
        <v>27.2097</v>
      </c>
      <c r="J174" s="15"/>
      <c r="K174" s="15"/>
      <c r="L174" s="78"/>
      <c r="M174" s="78"/>
      <c r="N174" s="78"/>
      <c r="O174" s="78"/>
      <c r="P174" s="78"/>
      <c r="Q174" s="78"/>
      <c r="R174" s="78"/>
      <c r="S174" s="78"/>
      <c r="T174" s="78"/>
      <c r="U174" s="78"/>
      <c r="V174" s="78"/>
      <c r="W174" s="78"/>
      <c r="X174" s="78"/>
      <c r="Y174" s="78"/>
      <c r="Z174" s="78"/>
    </row>
    <row r="175" ht="15.75" customHeight="1">
      <c r="A175" s="19"/>
      <c r="B175" s="57" t="s">
        <v>103</v>
      </c>
      <c r="C175" s="99"/>
      <c r="D175" s="62">
        <v>43.5</v>
      </c>
      <c r="E175" s="63"/>
      <c r="F175" s="100"/>
      <c r="G175" s="95">
        <v>0.617</v>
      </c>
      <c r="H175" s="101"/>
      <c r="I175" s="92">
        <f t="shared" si="14"/>
        <v>26.8395</v>
      </c>
      <c r="J175" s="15"/>
      <c r="K175" s="15"/>
      <c r="L175" s="78"/>
      <c r="M175" s="78"/>
      <c r="N175" s="78"/>
      <c r="O175" s="78"/>
      <c r="P175" s="78"/>
      <c r="Q175" s="78"/>
      <c r="R175" s="78"/>
      <c r="S175" s="78"/>
      <c r="T175" s="78"/>
      <c r="U175" s="78"/>
      <c r="V175" s="78"/>
      <c r="W175" s="78"/>
      <c r="X175" s="78"/>
      <c r="Y175" s="78"/>
      <c r="Z175" s="78"/>
    </row>
    <row r="176" ht="15.75" customHeight="1">
      <c r="A176" s="19"/>
      <c r="B176" s="38" t="s">
        <v>111</v>
      </c>
      <c r="C176" s="39"/>
      <c r="D176" s="39"/>
      <c r="E176" s="39"/>
      <c r="F176" s="39"/>
      <c r="G176" s="39"/>
      <c r="H176" s="40"/>
      <c r="I176" s="41">
        <f>ROUNDUP(SUM(I174:I175),2)</f>
        <v>54.05</v>
      </c>
      <c r="J176" s="4"/>
      <c r="K176" s="4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</row>
    <row r="177" ht="15.75" customHeight="1">
      <c r="A177" s="19"/>
      <c r="B177" s="56"/>
      <c r="C177" s="90"/>
      <c r="D177" s="90"/>
      <c r="E177" s="90"/>
      <c r="F177" s="90"/>
      <c r="G177" s="91"/>
      <c r="H177" s="90"/>
      <c r="I177" s="90"/>
      <c r="J177" s="4"/>
      <c r="K177" s="4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</row>
    <row r="178" ht="15.0" customHeight="1">
      <c r="A178" s="17" t="s">
        <v>118</v>
      </c>
      <c r="B178" s="88" t="s">
        <v>119</v>
      </c>
      <c r="C178" s="89"/>
      <c r="D178" s="90"/>
      <c r="E178" s="89"/>
      <c r="F178" s="56"/>
      <c r="G178" s="91"/>
      <c r="H178" s="56"/>
      <c r="I178" s="90"/>
      <c r="J178" s="4"/>
      <c r="K178" s="4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</row>
    <row r="179" ht="15.75" customHeight="1">
      <c r="A179" s="12"/>
      <c r="B179" s="20"/>
      <c r="C179" s="15"/>
      <c r="D179" s="15"/>
      <c r="E179" s="15"/>
      <c r="F179" s="15"/>
      <c r="G179" s="16"/>
      <c r="H179" s="15"/>
      <c r="I179" s="15"/>
      <c r="J179" s="4"/>
      <c r="K179" s="4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</row>
    <row r="180" ht="15.75" customHeight="1">
      <c r="A180" s="19"/>
      <c r="B180" s="24" t="s">
        <v>6</v>
      </c>
      <c r="C180" s="25" t="s">
        <v>7</v>
      </c>
      <c r="D180" s="43" t="s">
        <v>8</v>
      </c>
      <c r="E180" s="43" t="s">
        <v>108</v>
      </c>
      <c r="F180" s="43" t="s">
        <v>9</v>
      </c>
      <c r="G180" s="94" t="s">
        <v>109</v>
      </c>
      <c r="H180" s="27"/>
      <c r="I180" s="85" t="s">
        <v>110</v>
      </c>
      <c r="J180" s="15"/>
      <c r="K180" s="15"/>
      <c r="L180" s="78"/>
      <c r="M180" s="78"/>
      <c r="N180" s="78"/>
      <c r="O180" s="78"/>
      <c r="P180" s="78"/>
      <c r="Q180" s="78"/>
      <c r="R180" s="78"/>
      <c r="S180" s="78"/>
      <c r="T180" s="78"/>
      <c r="U180" s="78"/>
      <c r="V180" s="78"/>
      <c r="W180" s="78"/>
      <c r="X180" s="78"/>
      <c r="Y180" s="78"/>
      <c r="Z180" s="78"/>
    </row>
    <row r="181" ht="15.75" customHeight="1">
      <c r="A181" s="19"/>
      <c r="B181" s="57" t="s">
        <v>102</v>
      </c>
      <c r="C181" s="102"/>
      <c r="D181" s="60">
        <v>80.4</v>
      </c>
      <c r="E181" s="52"/>
      <c r="F181" s="103"/>
      <c r="G181" s="104">
        <v>0.963</v>
      </c>
      <c r="H181" s="105"/>
      <c r="I181" s="106">
        <f t="shared" ref="I181:I182" si="15">D181*G181</f>
        <v>77.4252</v>
      </c>
      <c r="J181" s="15"/>
      <c r="K181" s="15"/>
      <c r="L181" s="78"/>
      <c r="M181" s="78"/>
      <c r="N181" s="78"/>
      <c r="O181" s="78"/>
      <c r="P181" s="78"/>
      <c r="Q181" s="78"/>
      <c r="R181" s="78"/>
      <c r="S181" s="78"/>
      <c r="T181" s="78"/>
      <c r="U181" s="78"/>
      <c r="V181" s="78"/>
      <c r="W181" s="78"/>
      <c r="X181" s="78"/>
      <c r="Y181" s="78"/>
      <c r="Z181" s="78"/>
    </row>
    <row r="182" ht="15.75" customHeight="1">
      <c r="A182" s="19"/>
      <c r="B182" s="31"/>
      <c r="C182" s="93"/>
      <c r="D182" s="52"/>
      <c r="E182" s="52"/>
      <c r="F182" s="34"/>
      <c r="G182" s="35"/>
      <c r="H182" s="36"/>
      <c r="I182" s="92">
        <f t="shared" si="15"/>
        <v>0</v>
      </c>
      <c r="J182" s="15"/>
      <c r="K182" s="15"/>
      <c r="L182" s="78"/>
      <c r="M182" s="78"/>
      <c r="N182" s="78"/>
      <c r="O182" s="78"/>
      <c r="P182" s="78"/>
      <c r="Q182" s="78"/>
      <c r="R182" s="78"/>
      <c r="S182" s="78"/>
      <c r="T182" s="78"/>
      <c r="U182" s="78"/>
      <c r="V182" s="78"/>
      <c r="W182" s="78"/>
      <c r="X182" s="78"/>
      <c r="Y182" s="78"/>
      <c r="Z182" s="78"/>
    </row>
    <row r="183" ht="15.75" customHeight="1">
      <c r="A183" s="19"/>
      <c r="B183" s="38" t="s">
        <v>111</v>
      </c>
      <c r="C183" s="39"/>
      <c r="D183" s="39"/>
      <c r="E183" s="39"/>
      <c r="F183" s="39"/>
      <c r="G183" s="39"/>
      <c r="H183" s="40"/>
      <c r="I183" s="41">
        <f>ROUNDUP(SUM(I181:I182),2)</f>
        <v>77.43</v>
      </c>
      <c r="J183" s="4"/>
      <c r="K183" s="4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</row>
    <row r="184" ht="15.75" customHeight="1">
      <c r="A184" s="19"/>
      <c r="B184" s="56"/>
      <c r="C184" s="90"/>
      <c r="D184" s="90"/>
      <c r="E184" s="90"/>
      <c r="F184" s="90"/>
      <c r="G184" s="91"/>
      <c r="H184" s="90"/>
      <c r="I184" s="90"/>
      <c r="J184" s="4"/>
      <c r="K184" s="4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</row>
    <row r="185" ht="15.0" customHeight="1">
      <c r="A185" s="17" t="s">
        <v>120</v>
      </c>
      <c r="B185" s="88" t="s">
        <v>121</v>
      </c>
      <c r="C185" s="89"/>
      <c r="D185" s="90"/>
      <c r="E185" s="89"/>
      <c r="F185" s="56"/>
      <c r="G185" s="91"/>
      <c r="H185" s="56"/>
      <c r="I185" s="90"/>
      <c r="J185" s="4"/>
      <c r="K185" s="4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</row>
    <row r="186" ht="15.75" customHeight="1">
      <c r="A186" s="12"/>
      <c r="B186" s="20"/>
      <c r="C186" s="15"/>
      <c r="D186" s="15"/>
      <c r="E186" s="15"/>
      <c r="F186" s="15"/>
      <c r="G186" s="16"/>
      <c r="H186" s="15"/>
      <c r="I186" s="15"/>
      <c r="J186" s="4"/>
      <c r="K186" s="4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</row>
    <row r="187" ht="15.75" customHeight="1">
      <c r="A187" s="19"/>
      <c r="B187" s="24" t="s">
        <v>6</v>
      </c>
      <c r="C187" s="25" t="s">
        <v>7</v>
      </c>
      <c r="D187" s="43" t="s">
        <v>8</v>
      </c>
      <c r="E187" s="43" t="s">
        <v>108</v>
      </c>
      <c r="F187" s="43" t="s">
        <v>9</v>
      </c>
      <c r="G187" s="94" t="s">
        <v>109</v>
      </c>
      <c r="H187" s="27"/>
      <c r="I187" s="85" t="s">
        <v>110</v>
      </c>
      <c r="J187" s="15"/>
      <c r="K187" s="15"/>
      <c r="L187" s="78"/>
      <c r="M187" s="78"/>
      <c r="N187" s="78"/>
      <c r="O187" s="78"/>
      <c r="P187" s="78"/>
      <c r="Q187" s="78"/>
      <c r="R187" s="78"/>
      <c r="S187" s="78"/>
      <c r="T187" s="78"/>
      <c r="U187" s="78"/>
      <c r="V187" s="78"/>
      <c r="W187" s="78"/>
      <c r="X187" s="78"/>
      <c r="Y187" s="78"/>
      <c r="Z187" s="78"/>
    </row>
    <row r="188" ht="15.75" customHeight="1">
      <c r="A188" s="19"/>
      <c r="B188" s="57" t="s">
        <v>102</v>
      </c>
      <c r="C188" s="93"/>
      <c r="D188" s="60">
        <v>26.8</v>
      </c>
      <c r="E188" s="52"/>
      <c r="F188" s="34"/>
      <c r="G188" s="95">
        <v>1.578</v>
      </c>
      <c r="H188" s="36"/>
      <c r="I188" s="92">
        <f t="shared" ref="I188:I189" si="16">D188*G188</f>
        <v>42.2904</v>
      </c>
      <c r="J188" s="15"/>
      <c r="K188" s="15"/>
      <c r="L188" s="78"/>
      <c r="M188" s="78"/>
      <c r="N188" s="78"/>
      <c r="O188" s="78"/>
      <c r="P188" s="78"/>
      <c r="Q188" s="78"/>
      <c r="R188" s="78"/>
      <c r="S188" s="78"/>
      <c r="T188" s="78"/>
      <c r="U188" s="78"/>
      <c r="V188" s="78"/>
      <c r="W188" s="78"/>
      <c r="X188" s="78"/>
      <c r="Y188" s="78"/>
      <c r="Z188" s="78"/>
    </row>
    <row r="189" ht="15.75" customHeight="1">
      <c r="A189" s="19"/>
      <c r="B189" s="61"/>
      <c r="C189" s="99"/>
      <c r="D189" s="62"/>
      <c r="E189" s="63"/>
      <c r="F189" s="100"/>
      <c r="G189" s="107"/>
      <c r="H189" s="101"/>
      <c r="I189" s="92">
        <f t="shared" si="16"/>
        <v>0</v>
      </c>
      <c r="J189" s="15"/>
      <c r="K189" s="15"/>
      <c r="L189" s="78"/>
      <c r="M189" s="78"/>
      <c r="N189" s="78"/>
      <c r="O189" s="78"/>
      <c r="P189" s="78"/>
      <c r="Q189" s="78"/>
      <c r="R189" s="78"/>
      <c r="S189" s="78"/>
      <c r="T189" s="78"/>
      <c r="U189" s="78"/>
      <c r="V189" s="78"/>
      <c r="W189" s="78"/>
      <c r="X189" s="78"/>
      <c r="Y189" s="78"/>
      <c r="Z189" s="78"/>
    </row>
    <row r="190" ht="15.75" customHeight="1">
      <c r="A190" s="19"/>
      <c r="B190" s="38" t="s">
        <v>111</v>
      </c>
      <c r="C190" s="39"/>
      <c r="D190" s="39"/>
      <c r="E190" s="39"/>
      <c r="F190" s="39"/>
      <c r="G190" s="39"/>
      <c r="H190" s="40"/>
      <c r="I190" s="41">
        <f>ROUNDUP(SUM(I188:I189),2)</f>
        <v>42.3</v>
      </c>
      <c r="J190" s="4"/>
      <c r="K190" s="4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</row>
    <row r="191" ht="15.75" customHeight="1">
      <c r="A191" s="19"/>
      <c r="B191" s="56"/>
      <c r="C191" s="90"/>
      <c r="D191" s="90"/>
      <c r="E191" s="90"/>
      <c r="F191" s="90"/>
      <c r="G191" s="91"/>
      <c r="H191" s="90"/>
      <c r="I191" s="90"/>
      <c r="J191" s="4"/>
      <c r="K191" s="4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</row>
    <row r="192" ht="15.0" customHeight="1">
      <c r="A192" s="17" t="s">
        <v>122</v>
      </c>
      <c r="B192" s="88" t="s">
        <v>123</v>
      </c>
      <c r="C192" s="89"/>
      <c r="D192" s="90"/>
      <c r="E192" s="89"/>
      <c r="F192" s="56"/>
      <c r="G192" s="91"/>
      <c r="H192" s="56"/>
      <c r="I192" s="90"/>
      <c r="J192" s="4"/>
      <c r="K192" s="4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</row>
    <row r="193" ht="15.75" customHeight="1">
      <c r="A193" s="12"/>
      <c r="B193" s="20"/>
      <c r="C193" s="15"/>
      <c r="D193" s="15"/>
      <c r="E193" s="15"/>
      <c r="F193" s="15"/>
      <c r="G193" s="16"/>
      <c r="H193" s="15"/>
      <c r="I193" s="15"/>
      <c r="J193" s="4"/>
      <c r="K193" s="4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</row>
    <row r="194" ht="15.75" customHeight="1">
      <c r="A194" s="19"/>
      <c r="B194" s="24" t="s">
        <v>6</v>
      </c>
      <c r="C194" s="25" t="s">
        <v>7</v>
      </c>
      <c r="D194" s="43" t="s">
        <v>8</v>
      </c>
      <c r="E194" s="43" t="s">
        <v>108</v>
      </c>
      <c r="F194" s="43" t="s">
        <v>9</v>
      </c>
      <c r="G194" s="94" t="s">
        <v>109</v>
      </c>
      <c r="H194" s="27"/>
      <c r="I194" s="85" t="s">
        <v>110</v>
      </c>
      <c r="J194" s="15"/>
      <c r="K194" s="15"/>
      <c r="L194" s="78"/>
      <c r="M194" s="78"/>
      <c r="N194" s="78"/>
      <c r="O194" s="78"/>
      <c r="P194" s="78"/>
      <c r="Q194" s="78"/>
      <c r="R194" s="78"/>
      <c r="S194" s="78"/>
      <c r="T194" s="78"/>
      <c r="U194" s="78"/>
      <c r="V194" s="78"/>
      <c r="W194" s="78"/>
      <c r="X194" s="78"/>
      <c r="Y194" s="78"/>
      <c r="Z194" s="78"/>
    </row>
    <row r="195" ht="15.75" customHeight="1">
      <c r="A195" s="19"/>
      <c r="B195" s="57" t="s">
        <v>102</v>
      </c>
      <c r="C195" s="102"/>
      <c r="D195" s="60">
        <v>71.5</v>
      </c>
      <c r="E195" s="52"/>
      <c r="F195" s="103"/>
      <c r="G195" s="104">
        <v>2.466</v>
      </c>
      <c r="H195" s="105"/>
      <c r="I195" s="92">
        <f t="shared" ref="I195:I196" si="17">D195*G195</f>
        <v>176.319</v>
      </c>
      <c r="J195" s="15"/>
      <c r="K195" s="15"/>
      <c r="L195" s="78"/>
      <c r="M195" s="78"/>
      <c r="N195" s="78"/>
      <c r="O195" s="78"/>
      <c r="P195" s="78"/>
      <c r="Q195" s="78"/>
      <c r="R195" s="78"/>
      <c r="S195" s="78"/>
      <c r="T195" s="78"/>
      <c r="U195" s="78"/>
      <c r="V195" s="78"/>
      <c r="W195" s="78"/>
      <c r="X195" s="78"/>
      <c r="Y195" s="78"/>
      <c r="Z195" s="78"/>
    </row>
    <row r="196" ht="15.75" customHeight="1">
      <c r="A196" s="19"/>
      <c r="B196" s="31"/>
      <c r="C196" s="93"/>
      <c r="D196" s="52"/>
      <c r="E196" s="52"/>
      <c r="F196" s="34"/>
      <c r="G196" s="35"/>
      <c r="H196" s="36"/>
      <c r="I196" s="92">
        <f t="shared" si="17"/>
        <v>0</v>
      </c>
      <c r="J196" s="15"/>
      <c r="K196" s="15"/>
      <c r="L196" s="78"/>
      <c r="M196" s="78"/>
      <c r="N196" s="78"/>
      <c r="O196" s="78"/>
      <c r="P196" s="78"/>
      <c r="Q196" s="78"/>
      <c r="R196" s="78"/>
      <c r="S196" s="78"/>
      <c r="T196" s="78"/>
      <c r="U196" s="78"/>
      <c r="V196" s="78"/>
      <c r="W196" s="78"/>
      <c r="X196" s="78"/>
      <c r="Y196" s="78"/>
      <c r="Z196" s="78"/>
    </row>
    <row r="197" ht="15.75" customHeight="1">
      <c r="A197" s="19"/>
      <c r="B197" s="38" t="s">
        <v>111</v>
      </c>
      <c r="C197" s="39"/>
      <c r="D197" s="39"/>
      <c r="E197" s="39"/>
      <c r="F197" s="39"/>
      <c r="G197" s="39"/>
      <c r="H197" s="40"/>
      <c r="I197" s="41">
        <f>ROUNDUP(SUM(I195:I196),2)</f>
        <v>176.32</v>
      </c>
      <c r="J197" s="4"/>
      <c r="K197" s="4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</row>
    <row r="198" ht="15.75" customHeight="1">
      <c r="A198" s="19"/>
      <c r="B198" s="56"/>
      <c r="C198" s="90"/>
      <c r="D198" s="90"/>
      <c r="E198" s="90"/>
      <c r="F198" s="90"/>
      <c r="G198" s="91"/>
      <c r="H198" s="90"/>
      <c r="I198" s="90"/>
      <c r="J198" s="4"/>
      <c r="K198" s="4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</row>
    <row r="199" ht="15.75" customHeight="1">
      <c r="A199" s="17" t="s">
        <v>124</v>
      </c>
      <c r="B199" s="49" t="s">
        <v>125</v>
      </c>
      <c r="J199" s="4"/>
      <c r="K199" s="4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</row>
    <row r="200" ht="15.75" customHeight="1">
      <c r="A200" s="12"/>
      <c r="B200" s="42"/>
      <c r="C200" s="42"/>
      <c r="D200" s="68"/>
      <c r="E200" s="42"/>
      <c r="F200" s="42"/>
      <c r="G200" s="69"/>
      <c r="H200" s="42"/>
      <c r="I200" s="42"/>
      <c r="J200" s="4"/>
      <c r="K200" s="4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</row>
    <row r="201" ht="15.75" customHeight="1">
      <c r="A201" s="19"/>
      <c r="B201" s="24" t="s">
        <v>6</v>
      </c>
      <c r="C201" s="25" t="s">
        <v>8</v>
      </c>
      <c r="D201" s="25" t="s">
        <v>9</v>
      </c>
      <c r="E201" s="25" t="s">
        <v>10</v>
      </c>
      <c r="F201" s="25" t="s">
        <v>21</v>
      </c>
      <c r="G201" s="84"/>
      <c r="H201" s="27"/>
      <c r="I201" s="85" t="s">
        <v>86</v>
      </c>
      <c r="J201" s="29"/>
      <c r="K201" s="29"/>
      <c r="L201" s="30"/>
      <c r="M201" s="30"/>
      <c r="N201" s="30"/>
      <c r="O201" s="30"/>
      <c r="P201" s="30"/>
      <c r="Q201" s="30"/>
      <c r="R201" s="30"/>
      <c r="S201" s="30"/>
      <c r="T201" s="30"/>
      <c r="U201" s="30"/>
      <c r="V201" s="30"/>
      <c r="W201" s="30"/>
      <c r="X201" s="30"/>
      <c r="Y201" s="30"/>
      <c r="Z201" s="30"/>
    </row>
    <row r="202" ht="15.75" customHeight="1">
      <c r="A202" s="19"/>
      <c r="B202" s="51" t="s">
        <v>47</v>
      </c>
      <c r="C202" s="52"/>
      <c r="D202" s="52"/>
      <c r="E202" s="52"/>
      <c r="F202" s="52"/>
      <c r="G202" s="70"/>
      <c r="H202" s="71"/>
      <c r="I202" s="108">
        <f>3.3*(1.8+1)*(0.5)</f>
        <v>4.62</v>
      </c>
      <c r="J202" s="29"/>
      <c r="K202" s="29"/>
      <c r="L202" s="30"/>
      <c r="M202" s="30"/>
      <c r="N202" s="30"/>
      <c r="O202" s="30"/>
      <c r="P202" s="30"/>
      <c r="Q202" s="30"/>
      <c r="R202" s="30"/>
      <c r="S202" s="30"/>
      <c r="T202" s="30"/>
      <c r="U202" s="30"/>
      <c r="V202" s="30"/>
      <c r="W202" s="30"/>
      <c r="X202" s="30"/>
      <c r="Y202" s="30"/>
      <c r="Z202" s="30"/>
    </row>
    <row r="203" ht="15.75" customHeight="1">
      <c r="A203" s="19"/>
      <c r="B203" s="73" t="s">
        <v>48</v>
      </c>
      <c r="C203" s="52"/>
      <c r="D203" s="74"/>
      <c r="E203" s="71"/>
      <c r="F203" s="52"/>
      <c r="G203" s="75"/>
      <c r="H203" s="76"/>
      <c r="I203" s="80">
        <f t="shared" ref="I203:I204" si="18">3.3*3.2*0.5</f>
        <v>5.28</v>
      </c>
      <c r="J203" s="29"/>
      <c r="K203" s="29"/>
      <c r="L203" s="30"/>
      <c r="M203" s="30"/>
      <c r="N203" s="30"/>
      <c r="O203" s="30"/>
      <c r="P203" s="30"/>
      <c r="Q203" s="30"/>
      <c r="R203" s="30"/>
      <c r="S203" s="30"/>
      <c r="T203" s="30"/>
      <c r="U203" s="30"/>
      <c r="V203" s="30"/>
      <c r="W203" s="30"/>
      <c r="X203" s="30"/>
      <c r="Y203" s="30"/>
      <c r="Z203" s="30"/>
    </row>
    <row r="204" ht="15.75" customHeight="1">
      <c r="A204" s="19"/>
      <c r="B204" s="73" t="s">
        <v>49</v>
      </c>
      <c r="C204" s="52"/>
      <c r="D204" s="74"/>
      <c r="E204" s="71"/>
      <c r="F204" s="52"/>
      <c r="G204" s="75"/>
      <c r="H204" s="76"/>
      <c r="I204" s="80">
        <f t="shared" si="18"/>
        <v>5.28</v>
      </c>
      <c r="J204" s="29"/>
      <c r="K204" s="29"/>
      <c r="L204" s="30"/>
      <c r="M204" s="30"/>
      <c r="N204" s="30"/>
      <c r="O204" s="30"/>
      <c r="P204" s="30"/>
      <c r="Q204" s="30"/>
      <c r="R204" s="30"/>
      <c r="S204" s="30"/>
      <c r="T204" s="30"/>
      <c r="U204" s="30"/>
      <c r="V204" s="30"/>
      <c r="W204" s="30"/>
      <c r="X204" s="30"/>
      <c r="Y204" s="30"/>
      <c r="Z204" s="30"/>
    </row>
    <row r="205" ht="15.75" customHeight="1">
      <c r="A205" s="19"/>
      <c r="B205" s="73" t="s">
        <v>50</v>
      </c>
      <c r="C205" s="52"/>
      <c r="D205" s="74"/>
      <c r="E205" s="71"/>
      <c r="F205" s="52"/>
      <c r="G205" s="75"/>
      <c r="H205" s="76"/>
      <c r="I205" s="80">
        <f>3.7*3.1*0.5</f>
        <v>5.735</v>
      </c>
      <c r="J205" s="29"/>
      <c r="K205" s="29"/>
      <c r="L205" s="30"/>
      <c r="M205" s="30"/>
      <c r="N205" s="30"/>
      <c r="O205" s="30"/>
      <c r="P205" s="30"/>
      <c r="Q205" s="30"/>
      <c r="R205" s="30"/>
      <c r="S205" s="30"/>
      <c r="T205" s="30"/>
      <c r="U205" s="30"/>
      <c r="V205" s="30"/>
      <c r="W205" s="30"/>
      <c r="X205" s="30"/>
      <c r="Y205" s="30"/>
      <c r="Z205" s="30"/>
    </row>
    <row r="206" ht="15.75" customHeight="1">
      <c r="A206" s="19"/>
      <c r="B206" s="73" t="s">
        <v>51</v>
      </c>
      <c r="C206" s="52"/>
      <c r="D206" s="74"/>
      <c r="E206" s="71"/>
      <c r="F206" s="52"/>
      <c r="G206" s="75"/>
      <c r="H206" s="76"/>
      <c r="I206" s="80">
        <f t="shared" ref="I206:I207" si="19">4.7*2.5*0.5</f>
        <v>5.875</v>
      </c>
      <c r="J206" s="29"/>
      <c r="K206" s="29"/>
      <c r="L206" s="30"/>
      <c r="M206" s="30"/>
      <c r="N206" s="30"/>
      <c r="O206" s="30"/>
      <c r="P206" s="30"/>
      <c r="Q206" s="30"/>
      <c r="R206" s="30"/>
      <c r="S206" s="30"/>
      <c r="T206" s="30"/>
      <c r="U206" s="30"/>
      <c r="V206" s="30"/>
      <c r="W206" s="30"/>
      <c r="X206" s="30"/>
      <c r="Y206" s="30"/>
      <c r="Z206" s="30"/>
    </row>
    <row r="207" ht="15.75" customHeight="1">
      <c r="A207" s="19"/>
      <c r="B207" s="73" t="s">
        <v>52</v>
      </c>
      <c r="C207" s="52"/>
      <c r="D207" s="74"/>
      <c r="E207" s="71"/>
      <c r="F207" s="52"/>
      <c r="G207" s="75"/>
      <c r="H207" s="76"/>
      <c r="I207" s="80">
        <f t="shared" si="19"/>
        <v>5.875</v>
      </c>
      <c r="J207" s="29"/>
      <c r="K207" s="29"/>
      <c r="L207" s="30"/>
      <c r="M207" s="30"/>
      <c r="N207" s="30"/>
      <c r="O207" s="30"/>
      <c r="P207" s="30"/>
      <c r="Q207" s="30"/>
      <c r="R207" s="30"/>
      <c r="S207" s="30"/>
      <c r="T207" s="30"/>
      <c r="U207" s="30"/>
      <c r="V207" s="30"/>
      <c r="W207" s="30"/>
      <c r="X207" s="30"/>
      <c r="Y207" s="30"/>
      <c r="Z207" s="30"/>
    </row>
    <row r="208" ht="15.75" customHeight="1">
      <c r="A208" s="19"/>
      <c r="B208" s="73" t="s">
        <v>53</v>
      </c>
      <c r="C208" s="52"/>
      <c r="D208" s="74"/>
      <c r="E208" s="71"/>
      <c r="F208" s="52"/>
      <c r="G208" s="75"/>
      <c r="H208" s="76"/>
      <c r="I208" s="80">
        <f>5.3*3.1*0.5</f>
        <v>8.215</v>
      </c>
      <c r="J208" s="29"/>
      <c r="K208" s="29"/>
      <c r="L208" s="30"/>
      <c r="M208" s="30"/>
      <c r="N208" s="30"/>
      <c r="O208" s="30"/>
      <c r="P208" s="30"/>
      <c r="Q208" s="30"/>
      <c r="R208" s="30"/>
      <c r="S208" s="30"/>
      <c r="T208" s="30"/>
      <c r="U208" s="30"/>
      <c r="V208" s="30"/>
      <c r="W208" s="30"/>
      <c r="X208" s="30"/>
      <c r="Y208" s="30"/>
      <c r="Z208" s="30"/>
    </row>
    <row r="209" ht="15.75" customHeight="1">
      <c r="A209" s="19"/>
      <c r="B209" s="73" t="s">
        <v>54</v>
      </c>
      <c r="C209" s="52"/>
      <c r="D209" s="74"/>
      <c r="E209" s="71"/>
      <c r="F209" s="52"/>
      <c r="G209" s="75"/>
      <c r="H209" s="76"/>
      <c r="I209" s="80">
        <f t="shared" ref="I209:I216" si="20">2.5*2.5*0.5</f>
        <v>3.125</v>
      </c>
      <c r="J209" s="29"/>
      <c r="K209" s="29"/>
      <c r="L209" s="30"/>
      <c r="M209" s="30"/>
      <c r="N209" s="30"/>
      <c r="O209" s="30"/>
      <c r="P209" s="30"/>
      <c r="Q209" s="30"/>
      <c r="R209" s="30"/>
      <c r="S209" s="30"/>
      <c r="T209" s="30"/>
      <c r="U209" s="30"/>
      <c r="V209" s="30"/>
      <c r="W209" s="30"/>
      <c r="X209" s="30"/>
      <c r="Y209" s="30"/>
      <c r="Z209" s="30"/>
    </row>
    <row r="210" ht="15.75" customHeight="1">
      <c r="A210" s="19"/>
      <c r="B210" s="73" t="s">
        <v>55</v>
      </c>
      <c r="C210" s="52"/>
      <c r="D210" s="74"/>
      <c r="E210" s="71"/>
      <c r="F210" s="52"/>
      <c r="G210" s="75"/>
      <c r="H210" s="76"/>
      <c r="I210" s="80">
        <f t="shared" si="20"/>
        <v>3.125</v>
      </c>
      <c r="J210" s="29"/>
      <c r="K210" s="29"/>
      <c r="L210" s="30"/>
      <c r="M210" s="30"/>
      <c r="N210" s="30"/>
      <c r="O210" s="30"/>
      <c r="P210" s="30"/>
      <c r="Q210" s="30"/>
      <c r="R210" s="30"/>
      <c r="S210" s="30"/>
      <c r="T210" s="30"/>
      <c r="U210" s="30"/>
      <c r="V210" s="30"/>
      <c r="W210" s="30"/>
      <c r="X210" s="30"/>
      <c r="Y210" s="30"/>
      <c r="Z210" s="30"/>
    </row>
    <row r="211" ht="15.75" customHeight="1">
      <c r="A211" s="19"/>
      <c r="B211" s="73" t="s">
        <v>56</v>
      </c>
      <c r="C211" s="52"/>
      <c r="D211" s="74"/>
      <c r="E211" s="71"/>
      <c r="F211" s="52"/>
      <c r="G211" s="75"/>
      <c r="H211" s="76"/>
      <c r="I211" s="80">
        <f t="shared" si="20"/>
        <v>3.125</v>
      </c>
      <c r="J211" s="29"/>
      <c r="K211" s="29"/>
      <c r="L211" s="30"/>
      <c r="M211" s="30"/>
      <c r="N211" s="30"/>
      <c r="O211" s="30"/>
      <c r="P211" s="30"/>
      <c r="Q211" s="30"/>
      <c r="R211" s="30"/>
      <c r="S211" s="30"/>
      <c r="T211" s="30"/>
      <c r="U211" s="30"/>
      <c r="V211" s="30"/>
      <c r="W211" s="30"/>
      <c r="X211" s="30"/>
      <c r="Y211" s="30"/>
      <c r="Z211" s="30"/>
    </row>
    <row r="212" ht="15.75" customHeight="1">
      <c r="A212" s="19"/>
      <c r="B212" s="73" t="s">
        <v>57</v>
      </c>
      <c r="C212" s="52"/>
      <c r="D212" s="74"/>
      <c r="E212" s="71"/>
      <c r="F212" s="52"/>
      <c r="G212" s="70"/>
      <c r="H212" s="71"/>
      <c r="I212" s="80">
        <f t="shared" si="20"/>
        <v>3.125</v>
      </c>
      <c r="J212" s="29"/>
      <c r="K212" s="29"/>
      <c r="L212" s="30"/>
      <c r="M212" s="30"/>
      <c r="N212" s="30"/>
      <c r="O212" s="30"/>
      <c r="P212" s="30"/>
      <c r="Q212" s="30"/>
      <c r="R212" s="30"/>
      <c r="S212" s="30"/>
      <c r="T212" s="30"/>
      <c r="U212" s="30"/>
      <c r="V212" s="30"/>
      <c r="W212" s="30"/>
      <c r="X212" s="30"/>
      <c r="Y212" s="30"/>
      <c r="Z212" s="30"/>
    </row>
    <row r="213" ht="15.75" customHeight="1">
      <c r="A213" s="19"/>
      <c r="B213" s="73" t="s">
        <v>58</v>
      </c>
      <c r="C213" s="52"/>
      <c r="D213" s="74"/>
      <c r="E213" s="71"/>
      <c r="F213" s="52"/>
      <c r="G213" s="75"/>
      <c r="H213" s="76"/>
      <c r="I213" s="80">
        <f t="shared" si="20"/>
        <v>3.125</v>
      </c>
      <c r="J213" s="29"/>
      <c r="K213" s="29"/>
      <c r="L213" s="30"/>
      <c r="M213" s="30"/>
      <c r="N213" s="30"/>
      <c r="O213" s="30"/>
      <c r="P213" s="30"/>
      <c r="Q213" s="30"/>
      <c r="R213" s="30"/>
      <c r="S213" s="30"/>
      <c r="T213" s="30"/>
      <c r="U213" s="30"/>
      <c r="V213" s="30"/>
      <c r="W213" s="30"/>
      <c r="X213" s="30"/>
      <c r="Y213" s="30"/>
      <c r="Z213" s="30"/>
    </row>
    <row r="214" ht="15.75" customHeight="1">
      <c r="A214" s="19"/>
      <c r="B214" s="73" t="s">
        <v>59</v>
      </c>
      <c r="C214" s="52"/>
      <c r="D214" s="74"/>
      <c r="E214" s="71"/>
      <c r="F214" s="52"/>
      <c r="G214" s="75"/>
      <c r="H214" s="76"/>
      <c r="I214" s="80">
        <f t="shared" si="20"/>
        <v>3.125</v>
      </c>
      <c r="J214" s="29"/>
      <c r="K214" s="29"/>
      <c r="L214" s="30"/>
      <c r="M214" s="30"/>
      <c r="N214" s="30"/>
      <c r="O214" s="30"/>
      <c r="P214" s="30"/>
      <c r="Q214" s="30"/>
      <c r="R214" s="30"/>
      <c r="S214" s="30"/>
      <c r="T214" s="30"/>
      <c r="U214" s="30"/>
      <c r="V214" s="30"/>
      <c r="W214" s="30"/>
      <c r="X214" s="30"/>
      <c r="Y214" s="30"/>
      <c r="Z214" s="30"/>
    </row>
    <row r="215" ht="15.75" customHeight="1">
      <c r="A215" s="19"/>
      <c r="B215" s="73" t="s">
        <v>60</v>
      </c>
      <c r="C215" s="52"/>
      <c r="D215" s="74"/>
      <c r="E215" s="71"/>
      <c r="F215" s="52"/>
      <c r="G215" s="75"/>
      <c r="H215" s="76"/>
      <c r="I215" s="80">
        <f t="shared" si="20"/>
        <v>3.125</v>
      </c>
      <c r="J215" s="29"/>
      <c r="K215" s="29"/>
      <c r="L215" s="30"/>
      <c r="M215" s="30"/>
      <c r="N215" s="30"/>
      <c r="O215" s="30"/>
      <c r="P215" s="30"/>
      <c r="Q215" s="30"/>
      <c r="R215" s="30"/>
      <c r="S215" s="30"/>
      <c r="T215" s="30"/>
      <c r="U215" s="30"/>
      <c r="V215" s="30"/>
      <c r="W215" s="30"/>
      <c r="X215" s="30"/>
      <c r="Y215" s="30"/>
      <c r="Z215" s="30"/>
    </row>
    <row r="216" ht="15.75" customHeight="1">
      <c r="A216" s="19"/>
      <c r="B216" s="73" t="s">
        <v>61</v>
      </c>
      <c r="C216" s="52"/>
      <c r="D216" s="74"/>
      <c r="E216" s="71"/>
      <c r="F216" s="52"/>
      <c r="G216" s="75"/>
      <c r="H216" s="76"/>
      <c r="I216" s="80">
        <f t="shared" si="20"/>
        <v>3.125</v>
      </c>
      <c r="J216" s="29"/>
      <c r="K216" s="29"/>
      <c r="L216" s="30"/>
      <c r="M216" s="30"/>
      <c r="N216" s="30"/>
      <c r="O216" s="30"/>
      <c r="P216" s="30"/>
      <c r="Q216" s="30"/>
      <c r="R216" s="30"/>
      <c r="S216" s="30"/>
      <c r="T216" s="30"/>
      <c r="U216" s="30"/>
      <c r="V216" s="30"/>
      <c r="W216" s="30"/>
      <c r="X216" s="30"/>
      <c r="Y216" s="30"/>
      <c r="Z216" s="30"/>
    </row>
    <row r="217" ht="15.75" customHeight="1">
      <c r="A217" s="19"/>
      <c r="B217" s="73" t="s">
        <v>62</v>
      </c>
      <c r="C217" s="52"/>
      <c r="D217" s="74"/>
      <c r="E217" s="71"/>
      <c r="F217" s="52"/>
      <c r="G217" s="75"/>
      <c r="H217" s="76"/>
      <c r="I217" s="80">
        <f>4.75*2.41*0.5</f>
        <v>5.72375</v>
      </c>
      <c r="J217" s="29"/>
      <c r="K217" s="29"/>
      <c r="L217" s="30"/>
      <c r="M217" s="30"/>
      <c r="N217" s="30"/>
      <c r="O217" s="30"/>
      <c r="P217" s="30"/>
      <c r="Q217" s="30"/>
      <c r="R217" s="30"/>
      <c r="S217" s="30"/>
      <c r="T217" s="30"/>
      <c r="U217" s="30"/>
      <c r="V217" s="30"/>
      <c r="W217" s="30"/>
      <c r="X217" s="30"/>
      <c r="Y217" s="30"/>
      <c r="Z217" s="30"/>
    </row>
    <row r="218" ht="15.75" customHeight="1">
      <c r="A218" s="19"/>
      <c r="B218" s="73" t="s">
        <v>63</v>
      </c>
      <c r="C218" s="52"/>
      <c r="D218" s="74"/>
      <c r="E218" s="71"/>
      <c r="F218" s="52"/>
      <c r="G218" s="75"/>
      <c r="H218" s="76"/>
      <c r="I218" s="80">
        <f>5.16*2.05*0.5</f>
        <v>5.289</v>
      </c>
      <c r="J218" s="22"/>
      <c r="K218" s="22"/>
      <c r="L218" s="23"/>
      <c r="M218" s="23"/>
      <c r="N218" s="23"/>
      <c r="O218" s="23"/>
      <c r="P218" s="23"/>
      <c r="Q218" s="23"/>
      <c r="R218" s="23"/>
      <c r="S218" s="23"/>
      <c r="T218" s="23"/>
      <c r="U218" s="23"/>
      <c r="V218" s="23"/>
      <c r="W218" s="23"/>
      <c r="X218" s="23"/>
      <c r="Y218" s="23"/>
      <c r="Z218" s="23"/>
    </row>
    <row r="219" ht="15.75" customHeight="1">
      <c r="A219" s="12"/>
      <c r="B219" s="73" t="s">
        <v>64</v>
      </c>
      <c r="C219" s="52"/>
      <c r="D219" s="74"/>
      <c r="E219" s="71"/>
      <c r="F219" s="52"/>
      <c r="G219" s="75"/>
      <c r="H219" s="76"/>
      <c r="I219" s="80">
        <f>3.5*1.9*0.5</f>
        <v>3.325</v>
      </c>
      <c r="J219" s="4"/>
      <c r="K219" s="4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</row>
    <row r="220" ht="15.75" customHeight="1">
      <c r="A220" s="19"/>
      <c r="B220" s="38" t="s">
        <v>99</v>
      </c>
      <c r="C220" s="39"/>
      <c r="D220" s="39"/>
      <c r="E220" s="39"/>
      <c r="F220" s="39"/>
      <c r="G220" s="39"/>
      <c r="H220" s="40"/>
      <c r="I220" s="41">
        <f>ROUNDUP(SUM(I202:I219),2)</f>
        <v>80.22</v>
      </c>
      <c r="J220" s="4"/>
      <c r="K220" s="4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</row>
    <row r="221" ht="15.75" customHeight="1">
      <c r="A221" s="19"/>
      <c r="B221" s="56"/>
      <c r="C221" s="90"/>
      <c r="D221" s="90"/>
      <c r="E221" s="90"/>
      <c r="F221" s="90"/>
      <c r="G221" s="91"/>
      <c r="H221" s="90"/>
      <c r="I221" s="90"/>
      <c r="J221" s="4"/>
      <c r="K221" s="4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</row>
    <row r="222" ht="15.0" customHeight="1">
      <c r="A222" s="17" t="s">
        <v>126</v>
      </c>
      <c r="B222" s="56" t="s">
        <v>127</v>
      </c>
      <c r="C222" s="89"/>
      <c r="D222" s="90"/>
      <c r="E222" s="89"/>
      <c r="F222" s="56"/>
      <c r="G222" s="91"/>
      <c r="H222" s="56"/>
      <c r="I222" s="90"/>
      <c r="J222" s="4"/>
      <c r="K222" s="4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</row>
    <row r="223" ht="15.75" customHeight="1">
      <c r="A223" s="12"/>
      <c r="B223" s="20"/>
      <c r="C223" s="15"/>
      <c r="D223" s="15"/>
      <c r="E223" s="15"/>
      <c r="F223" s="15"/>
      <c r="G223" s="16"/>
      <c r="H223" s="15"/>
      <c r="I223" s="15"/>
      <c r="J223" s="4"/>
      <c r="K223" s="4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</row>
    <row r="224" ht="15.75" customHeight="1">
      <c r="A224" s="19"/>
      <c r="B224" s="24" t="s">
        <v>6</v>
      </c>
      <c r="C224" s="25" t="s">
        <v>128</v>
      </c>
      <c r="D224" s="25" t="s">
        <v>96</v>
      </c>
      <c r="E224" s="25" t="s">
        <v>10</v>
      </c>
      <c r="F224" s="43" t="s">
        <v>8</v>
      </c>
      <c r="G224" s="109" t="s">
        <v>9</v>
      </c>
      <c r="H224" s="27"/>
      <c r="I224" s="85" t="s">
        <v>14</v>
      </c>
      <c r="J224" s="15"/>
      <c r="K224" s="15"/>
      <c r="L224" s="78"/>
      <c r="M224" s="78"/>
      <c r="N224" s="78"/>
      <c r="O224" s="78"/>
      <c r="P224" s="78"/>
      <c r="Q224" s="78"/>
      <c r="R224" s="78"/>
      <c r="S224" s="78"/>
      <c r="T224" s="78"/>
      <c r="U224" s="78"/>
      <c r="V224" s="78"/>
      <c r="W224" s="78"/>
      <c r="X224" s="78"/>
      <c r="Y224" s="78"/>
      <c r="Z224" s="78"/>
    </row>
    <row r="225" ht="15.75" customHeight="1">
      <c r="A225" s="19"/>
      <c r="B225" s="31" t="s">
        <v>129</v>
      </c>
      <c r="C225" s="52">
        <v>2.0</v>
      </c>
      <c r="D225" s="52">
        <v>5.46</v>
      </c>
      <c r="E225" s="52">
        <v>0.4</v>
      </c>
      <c r="F225" s="52"/>
      <c r="G225" s="110"/>
      <c r="H225" s="36"/>
      <c r="I225" s="92">
        <f t="shared" ref="I225:I228" si="21">C225*D225*E225</f>
        <v>4.368</v>
      </c>
      <c r="J225" s="15"/>
      <c r="K225" s="15"/>
      <c r="L225" s="78"/>
      <c r="M225" s="78"/>
      <c r="N225" s="78"/>
      <c r="O225" s="78"/>
      <c r="P225" s="78"/>
      <c r="Q225" s="78"/>
      <c r="R225" s="78"/>
      <c r="S225" s="78"/>
      <c r="T225" s="78"/>
      <c r="U225" s="78"/>
      <c r="V225" s="78"/>
      <c r="W225" s="78"/>
      <c r="X225" s="78"/>
      <c r="Y225" s="78"/>
      <c r="Z225" s="78"/>
    </row>
    <row r="226" ht="15.75" customHeight="1">
      <c r="A226" s="19"/>
      <c r="B226" s="31" t="s">
        <v>130</v>
      </c>
      <c r="C226" s="93">
        <v>1.0</v>
      </c>
      <c r="D226" s="93">
        <v>6.87</v>
      </c>
      <c r="E226" s="52">
        <v>0.3</v>
      </c>
      <c r="F226" s="52"/>
      <c r="G226" s="110"/>
      <c r="H226" s="36"/>
      <c r="I226" s="92">
        <f t="shared" si="21"/>
        <v>2.061</v>
      </c>
      <c r="J226" s="15"/>
      <c r="K226" s="15"/>
      <c r="L226" s="78"/>
      <c r="M226" s="78"/>
      <c r="N226" s="78"/>
      <c r="O226" s="78"/>
      <c r="P226" s="78"/>
      <c r="Q226" s="78"/>
      <c r="R226" s="78"/>
      <c r="S226" s="78"/>
      <c r="T226" s="78"/>
      <c r="U226" s="78"/>
      <c r="V226" s="78"/>
      <c r="W226" s="78"/>
      <c r="X226" s="78"/>
      <c r="Y226" s="78"/>
      <c r="Z226" s="78"/>
    </row>
    <row r="227" ht="15.75" customHeight="1">
      <c r="A227" s="19"/>
      <c r="B227" s="31" t="s">
        <v>131</v>
      </c>
      <c r="C227" s="93">
        <v>2.0</v>
      </c>
      <c r="D227" s="93">
        <v>11.2</v>
      </c>
      <c r="E227" s="52">
        <v>0.4</v>
      </c>
      <c r="F227" s="52"/>
      <c r="G227" s="110"/>
      <c r="H227" s="36"/>
      <c r="I227" s="92">
        <f t="shared" si="21"/>
        <v>8.96</v>
      </c>
      <c r="J227" s="15"/>
      <c r="K227" s="15"/>
      <c r="L227" s="78"/>
      <c r="M227" s="78"/>
      <c r="N227" s="78"/>
      <c r="O227" s="78"/>
      <c r="P227" s="78"/>
      <c r="Q227" s="78"/>
      <c r="R227" s="78"/>
      <c r="S227" s="78"/>
      <c r="T227" s="78"/>
      <c r="U227" s="78"/>
      <c r="V227" s="78"/>
      <c r="W227" s="78"/>
      <c r="X227" s="78"/>
      <c r="Y227" s="78"/>
      <c r="Z227" s="78"/>
    </row>
    <row r="228" ht="15.75" customHeight="1">
      <c r="A228" s="19"/>
      <c r="B228" s="31" t="s">
        <v>132</v>
      </c>
      <c r="C228" s="93">
        <v>1.0</v>
      </c>
      <c r="D228" s="93">
        <f>143+17.5+9.5*2+7.3*3</f>
        <v>201.4</v>
      </c>
      <c r="E228" s="52">
        <v>0.2</v>
      </c>
      <c r="F228" s="52"/>
      <c r="G228" s="110"/>
      <c r="H228" s="36"/>
      <c r="I228" s="92">
        <f t="shared" si="21"/>
        <v>40.28</v>
      </c>
      <c r="J228" s="15"/>
      <c r="K228" s="15"/>
      <c r="L228" s="78"/>
      <c r="M228" s="78"/>
      <c r="N228" s="78"/>
      <c r="O228" s="78"/>
      <c r="P228" s="78"/>
      <c r="Q228" s="78"/>
      <c r="R228" s="78"/>
      <c r="S228" s="78"/>
      <c r="T228" s="78"/>
      <c r="U228" s="78"/>
      <c r="V228" s="78"/>
      <c r="W228" s="78"/>
      <c r="X228" s="78"/>
      <c r="Y228" s="78"/>
      <c r="Z228" s="78"/>
    </row>
    <row r="229" ht="15.75" customHeight="1">
      <c r="A229" s="19"/>
      <c r="B229" s="57" t="s">
        <v>133</v>
      </c>
      <c r="C229" s="111">
        <v>2.0</v>
      </c>
      <c r="D229" s="111">
        <v>5.3</v>
      </c>
      <c r="E229" s="52">
        <f>0.2</f>
        <v>0.2</v>
      </c>
      <c r="F229" s="52"/>
      <c r="G229" s="110"/>
      <c r="H229" s="36"/>
      <c r="I229" s="92">
        <f>C229*D229</f>
        <v>10.6</v>
      </c>
      <c r="J229" s="15"/>
      <c r="K229" s="15"/>
      <c r="L229" s="78"/>
      <c r="M229" s="78"/>
      <c r="N229" s="78"/>
      <c r="O229" s="78"/>
      <c r="P229" s="78"/>
      <c r="Q229" s="78"/>
      <c r="R229" s="78"/>
      <c r="S229" s="78"/>
      <c r="T229" s="78"/>
      <c r="U229" s="78"/>
      <c r="V229" s="78"/>
      <c r="W229" s="78"/>
      <c r="X229" s="78"/>
      <c r="Y229" s="78"/>
      <c r="Z229" s="78"/>
    </row>
    <row r="230" ht="15.75" customHeight="1">
      <c r="A230" s="19"/>
      <c r="B230" s="38" t="s">
        <v>99</v>
      </c>
      <c r="C230" s="39"/>
      <c r="D230" s="39"/>
      <c r="E230" s="39"/>
      <c r="F230" s="39"/>
      <c r="G230" s="39"/>
      <c r="H230" s="40"/>
      <c r="I230" s="41">
        <f>ROUNDUP(SUM(I225:I229),2)</f>
        <v>66.27</v>
      </c>
      <c r="J230" s="4"/>
      <c r="K230" s="4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</row>
    <row r="231" ht="15.75" customHeight="1">
      <c r="A231" s="19"/>
      <c r="B231" s="56"/>
      <c r="C231" s="90"/>
      <c r="D231" s="90"/>
      <c r="E231" s="90"/>
      <c r="F231" s="90"/>
      <c r="G231" s="91"/>
      <c r="H231" s="90"/>
      <c r="I231" s="90"/>
      <c r="J231" s="4"/>
      <c r="K231" s="4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</row>
    <row r="232" ht="15.75" customHeight="1">
      <c r="A232" s="17" t="s">
        <v>104</v>
      </c>
      <c r="B232" s="49" t="s">
        <v>134</v>
      </c>
      <c r="J232" s="4"/>
      <c r="K232" s="4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</row>
    <row r="233" ht="15.75" customHeight="1">
      <c r="A233" s="12"/>
      <c r="B233" s="42"/>
      <c r="C233" s="42"/>
      <c r="D233" s="68"/>
      <c r="E233" s="42"/>
      <c r="F233" s="42"/>
      <c r="G233" s="69"/>
      <c r="H233" s="42"/>
      <c r="I233" s="42"/>
      <c r="J233" s="4"/>
      <c r="K233" s="4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</row>
    <row r="234" ht="15.75" customHeight="1">
      <c r="A234" s="19"/>
      <c r="B234" s="24" t="s">
        <v>6</v>
      </c>
      <c r="C234" s="25" t="s">
        <v>8</v>
      </c>
      <c r="D234" s="25" t="s">
        <v>9</v>
      </c>
      <c r="E234" s="25" t="s">
        <v>10</v>
      </c>
      <c r="F234" s="25" t="s">
        <v>21</v>
      </c>
      <c r="G234" s="84"/>
      <c r="H234" s="27"/>
      <c r="I234" s="85" t="s">
        <v>86</v>
      </c>
      <c r="J234" s="4"/>
      <c r="K234" s="4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</row>
    <row r="235" ht="15.75" customHeight="1">
      <c r="A235" s="19"/>
      <c r="B235" s="57" t="s">
        <v>102</v>
      </c>
      <c r="C235" s="52"/>
      <c r="D235" s="52"/>
      <c r="E235" s="52"/>
      <c r="F235" s="76"/>
      <c r="G235" s="53"/>
      <c r="H235" s="54"/>
      <c r="I235" s="112">
        <v>4.03</v>
      </c>
      <c r="J235" s="4"/>
      <c r="K235" s="4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</row>
    <row r="236" ht="15.75" customHeight="1">
      <c r="A236" s="19"/>
      <c r="B236" s="57" t="s">
        <v>103</v>
      </c>
      <c r="C236" s="52"/>
      <c r="D236" s="52"/>
      <c r="E236" s="52"/>
      <c r="F236" s="52"/>
      <c r="G236" s="53"/>
      <c r="H236" s="54"/>
      <c r="I236" s="112">
        <v>0.72</v>
      </c>
      <c r="J236" s="4"/>
      <c r="K236" s="4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</row>
    <row r="237" ht="15.75" customHeight="1">
      <c r="A237" s="19"/>
      <c r="B237" s="38" t="s">
        <v>27</v>
      </c>
      <c r="C237" s="39"/>
      <c r="D237" s="39"/>
      <c r="E237" s="39"/>
      <c r="F237" s="39"/>
      <c r="G237" s="39"/>
      <c r="H237" s="40"/>
      <c r="I237" s="41">
        <f>ROUNDUP(SUM(I235:I236),2)</f>
        <v>4.75</v>
      </c>
      <c r="J237" s="4"/>
      <c r="K237" s="4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</row>
    <row r="238" ht="15.75" customHeight="1">
      <c r="A238" s="19"/>
      <c r="B238" s="56"/>
      <c r="C238" s="90"/>
      <c r="D238" s="90"/>
      <c r="E238" s="90"/>
      <c r="F238" s="90"/>
      <c r="G238" s="91"/>
      <c r="H238" s="90"/>
      <c r="I238" s="90"/>
      <c r="J238" s="4"/>
      <c r="K238" s="4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</row>
    <row r="239" ht="15.75" customHeight="1">
      <c r="A239" s="17" t="s">
        <v>135</v>
      </c>
      <c r="B239" s="18" t="s">
        <v>136</v>
      </c>
      <c r="C239" s="15"/>
      <c r="D239" s="15"/>
      <c r="E239" s="15"/>
      <c r="F239" s="15"/>
      <c r="G239" s="16"/>
      <c r="H239" s="15"/>
      <c r="I239" s="15"/>
      <c r="J239" s="4"/>
      <c r="K239" s="4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</row>
    <row r="240" ht="15.75" customHeight="1">
      <c r="A240" s="12"/>
      <c r="B240" s="56"/>
      <c r="C240" s="15"/>
      <c r="D240" s="15"/>
      <c r="E240" s="15"/>
      <c r="F240" s="15"/>
      <c r="G240" s="16"/>
      <c r="H240" s="15"/>
      <c r="I240" s="15"/>
      <c r="J240" s="4"/>
      <c r="K240" s="4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</row>
    <row r="241" ht="15.75" customHeight="1">
      <c r="A241" s="17" t="s">
        <v>137</v>
      </c>
      <c r="B241" s="18" t="s">
        <v>138</v>
      </c>
      <c r="C241" s="15"/>
      <c r="D241" s="15"/>
      <c r="E241" s="15"/>
      <c r="F241" s="15"/>
      <c r="G241" s="16"/>
      <c r="H241" s="15"/>
      <c r="I241" s="15"/>
      <c r="J241" s="4"/>
      <c r="K241" s="4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</row>
    <row r="242" ht="15.75" customHeight="1">
      <c r="A242" s="12"/>
      <c r="B242" s="56"/>
      <c r="C242" s="15"/>
      <c r="D242" s="15"/>
      <c r="E242" s="15"/>
      <c r="F242" s="15"/>
      <c r="G242" s="16"/>
      <c r="H242" s="15"/>
      <c r="I242" s="15"/>
      <c r="J242" s="4"/>
      <c r="K242" s="4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</row>
    <row r="243" ht="15.0" customHeight="1">
      <c r="A243" s="17" t="s">
        <v>139</v>
      </c>
      <c r="B243" s="56" t="s">
        <v>140</v>
      </c>
      <c r="C243" s="89"/>
      <c r="D243" s="90"/>
      <c r="E243" s="89"/>
      <c r="F243" s="56"/>
      <c r="G243" s="91"/>
      <c r="H243" s="56"/>
      <c r="I243" s="90"/>
      <c r="J243" s="4"/>
      <c r="K243" s="4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</row>
    <row r="244" ht="15.75" customHeight="1">
      <c r="A244" s="12"/>
      <c r="B244" s="20"/>
      <c r="C244" s="15"/>
      <c r="D244" s="15"/>
      <c r="E244" s="15"/>
      <c r="F244" s="15"/>
      <c r="G244" s="16"/>
      <c r="H244" s="15"/>
      <c r="I244" s="15"/>
      <c r="J244" s="4"/>
      <c r="K244" s="4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</row>
    <row r="245" ht="15.75" customHeight="1">
      <c r="A245" s="19"/>
      <c r="B245" s="24" t="s">
        <v>6</v>
      </c>
      <c r="C245" s="113" t="s">
        <v>141</v>
      </c>
      <c r="D245" s="25" t="s">
        <v>96</v>
      </c>
      <c r="E245" s="43" t="s">
        <v>9</v>
      </c>
      <c r="F245" s="114" t="s">
        <v>142</v>
      </c>
      <c r="G245" s="26"/>
      <c r="H245" s="27"/>
      <c r="I245" s="85" t="s">
        <v>14</v>
      </c>
      <c r="J245" s="15"/>
      <c r="K245" s="15"/>
      <c r="L245" s="78"/>
      <c r="M245" s="78"/>
      <c r="N245" s="78"/>
      <c r="O245" s="78"/>
      <c r="P245" s="78"/>
      <c r="Q245" s="78"/>
      <c r="R245" s="78"/>
      <c r="S245" s="78"/>
      <c r="T245" s="78"/>
      <c r="U245" s="78"/>
      <c r="V245" s="78"/>
      <c r="W245" s="78"/>
      <c r="X245" s="78"/>
      <c r="Y245" s="78"/>
      <c r="Z245" s="78"/>
    </row>
    <row r="246" ht="15.75" customHeight="1">
      <c r="A246" s="19"/>
      <c r="B246" s="61" t="s">
        <v>143</v>
      </c>
      <c r="C246" s="60">
        <v>4.0</v>
      </c>
      <c r="D246" s="60">
        <f>3.2+1.7+3</f>
        <v>7.9</v>
      </c>
      <c r="E246" s="60">
        <v>0.3</v>
      </c>
      <c r="F246" s="60">
        <v>0.2</v>
      </c>
      <c r="G246" s="35"/>
      <c r="H246" s="36"/>
      <c r="I246" s="92">
        <f t="shared" ref="I246:I249" si="22">C246*D246*(E246*2+F246*2)</f>
        <v>31.6</v>
      </c>
      <c r="J246" s="15"/>
      <c r="K246" s="15"/>
      <c r="L246" s="78"/>
      <c r="M246" s="78"/>
      <c r="N246" s="78"/>
      <c r="O246" s="78"/>
      <c r="P246" s="78"/>
      <c r="Q246" s="78"/>
      <c r="R246" s="78"/>
      <c r="S246" s="78"/>
      <c r="T246" s="78"/>
      <c r="U246" s="78"/>
      <c r="V246" s="78"/>
      <c r="W246" s="78"/>
      <c r="X246" s="78"/>
      <c r="Y246" s="78"/>
      <c r="Z246" s="78"/>
    </row>
    <row r="247" ht="15.75" customHeight="1">
      <c r="A247" s="19"/>
      <c r="B247" s="115"/>
      <c r="C247" s="111">
        <v>4.0</v>
      </c>
      <c r="D247" s="60">
        <v>0.5</v>
      </c>
      <c r="E247" s="60">
        <v>0.3</v>
      </c>
      <c r="F247" s="116">
        <v>0.3</v>
      </c>
      <c r="G247" s="35"/>
      <c r="H247" s="36"/>
      <c r="I247" s="92">
        <f t="shared" si="22"/>
        <v>2.4</v>
      </c>
      <c r="J247" s="15"/>
      <c r="K247" s="15"/>
      <c r="L247" s="78"/>
      <c r="M247" s="78"/>
      <c r="N247" s="78"/>
      <c r="O247" s="78"/>
      <c r="P247" s="78"/>
      <c r="Q247" s="78"/>
      <c r="R247" s="78"/>
      <c r="S247" s="78"/>
      <c r="T247" s="78"/>
      <c r="U247" s="78"/>
      <c r="V247" s="78"/>
      <c r="W247" s="78"/>
      <c r="X247" s="78"/>
      <c r="Y247" s="78"/>
      <c r="Z247" s="78"/>
    </row>
    <row r="248" ht="15.75" customHeight="1">
      <c r="A248" s="19"/>
      <c r="B248" s="57" t="s">
        <v>144</v>
      </c>
      <c r="C248" s="111">
        <v>4.0</v>
      </c>
      <c r="D248" s="60">
        <v>1.5</v>
      </c>
      <c r="E248" s="60">
        <v>0.2</v>
      </c>
      <c r="F248" s="116">
        <v>0.2</v>
      </c>
      <c r="G248" s="117"/>
      <c r="H248" s="98"/>
      <c r="I248" s="92">
        <f t="shared" si="22"/>
        <v>4.8</v>
      </c>
      <c r="J248" s="4"/>
      <c r="K248" s="4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</row>
    <row r="249" ht="15.75" customHeight="1">
      <c r="A249" s="19"/>
      <c r="B249" s="57" t="s">
        <v>145</v>
      </c>
      <c r="C249" s="111">
        <v>4.0</v>
      </c>
      <c r="D249" s="60">
        <f>1.5+0.4</f>
        <v>1.9</v>
      </c>
      <c r="E249" s="60">
        <v>0.2</v>
      </c>
      <c r="F249" s="116">
        <v>0.2</v>
      </c>
      <c r="G249" s="117"/>
      <c r="H249" s="98"/>
      <c r="I249" s="92">
        <f t="shared" si="22"/>
        <v>6.08</v>
      </c>
      <c r="J249" s="4"/>
      <c r="K249" s="4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</row>
    <row r="250" ht="15.75" customHeight="1">
      <c r="A250" s="19"/>
      <c r="B250" s="86" t="s">
        <v>146</v>
      </c>
      <c r="C250" s="96"/>
      <c r="D250" s="97"/>
      <c r="E250" s="97"/>
      <c r="F250" s="97"/>
      <c r="G250" s="117"/>
      <c r="H250" s="98"/>
      <c r="I250" s="118">
        <v>71.2</v>
      </c>
      <c r="J250" s="4"/>
      <c r="K250" s="4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</row>
    <row r="251" ht="15.75" customHeight="1">
      <c r="A251" s="19"/>
      <c r="B251" s="38" t="s">
        <v>99</v>
      </c>
      <c r="C251" s="39"/>
      <c r="D251" s="39"/>
      <c r="E251" s="39"/>
      <c r="F251" s="39"/>
      <c r="G251" s="39"/>
      <c r="H251" s="40"/>
      <c r="I251" s="41">
        <f>ROUNDUP(SUM(I246:I250),2)</f>
        <v>116.08</v>
      </c>
      <c r="J251" s="4"/>
      <c r="K251" s="4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</row>
    <row r="252" ht="15.75" customHeight="1">
      <c r="A252" s="19"/>
      <c r="B252" s="56"/>
      <c r="C252" s="90"/>
      <c r="D252" s="90"/>
      <c r="E252" s="90"/>
      <c r="F252" s="90"/>
      <c r="G252" s="91"/>
      <c r="H252" s="90"/>
      <c r="I252" s="90"/>
      <c r="J252" s="4"/>
      <c r="K252" s="4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</row>
    <row r="253" ht="15.0" customHeight="1">
      <c r="A253" s="17" t="s">
        <v>147</v>
      </c>
      <c r="B253" s="56" t="s">
        <v>148</v>
      </c>
      <c r="C253" s="89"/>
      <c r="D253" s="90"/>
      <c r="E253" s="89"/>
      <c r="F253" s="56"/>
      <c r="G253" s="91"/>
      <c r="H253" s="56"/>
      <c r="I253" s="90"/>
      <c r="J253" s="4"/>
      <c r="K253" s="119"/>
      <c r="L253" s="120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</row>
    <row r="254" ht="15.75" customHeight="1">
      <c r="A254" s="12"/>
      <c r="B254" s="20"/>
      <c r="C254" s="15"/>
      <c r="D254" s="15"/>
      <c r="E254" s="15"/>
      <c r="F254" s="15"/>
      <c r="G254" s="16"/>
      <c r="H254" s="15"/>
      <c r="I254" s="15"/>
      <c r="J254" s="4"/>
      <c r="K254" s="4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</row>
    <row r="255" ht="15.75" customHeight="1">
      <c r="A255" s="19"/>
      <c r="B255" s="24" t="s">
        <v>6</v>
      </c>
      <c r="C255" s="25" t="s">
        <v>96</v>
      </c>
      <c r="D255" s="25" t="s">
        <v>10</v>
      </c>
      <c r="E255" s="43" t="s">
        <v>8</v>
      </c>
      <c r="F255" s="43" t="s">
        <v>9</v>
      </c>
      <c r="G255" s="26"/>
      <c r="H255" s="27"/>
      <c r="I255" s="85" t="s">
        <v>14</v>
      </c>
      <c r="J255" s="15"/>
      <c r="K255" s="15"/>
      <c r="L255" s="78"/>
      <c r="M255" s="5"/>
      <c r="N255" s="5"/>
      <c r="O255" s="78"/>
      <c r="P255" s="78"/>
      <c r="Q255" s="78"/>
      <c r="R255" s="78"/>
      <c r="S255" s="78"/>
      <c r="T255" s="78"/>
      <c r="U255" s="78"/>
      <c r="V255" s="78"/>
      <c r="W255" s="78"/>
      <c r="X255" s="78"/>
      <c r="Y255" s="78"/>
      <c r="Z255" s="78"/>
    </row>
    <row r="256" ht="15.75" customHeight="1">
      <c r="A256" s="19"/>
      <c r="B256" s="57" t="s">
        <v>149</v>
      </c>
      <c r="C256" s="52"/>
      <c r="D256" s="52"/>
      <c r="E256" s="52"/>
      <c r="F256" s="34"/>
      <c r="G256" s="35"/>
      <c r="H256" s="36"/>
      <c r="I256" s="118">
        <f>16.29-4.8</f>
        <v>11.49</v>
      </c>
      <c r="J256" s="15"/>
      <c r="K256" s="15"/>
      <c r="L256" s="78"/>
      <c r="M256" s="78"/>
      <c r="N256" s="5"/>
      <c r="O256" s="78"/>
      <c r="P256" s="78"/>
      <c r="Q256" s="78"/>
      <c r="R256" s="78"/>
      <c r="S256" s="78"/>
      <c r="T256" s="78"/>
      <c r="U256" s="78"/>
      <c r="V256" s="78"/>
      <c r="W256" s="78"/>
      <c r="X256" s="78"/>
      <c r="Y256" s="78"/>
      <c r="Z256" s="78"/>
    </row>
    <row r="257" ht="15.75" customHeight="1">
      <c r="A257" s="19"/>
      <c r="B257" s="57" t="s">
        <v>150</v>
      </c>
      <c r="C257" s="93"/>
      <c r="D257" s="52"/>
      <c r="E257" s="52"/>
      <c r="F257" s="34"/>
      <c r="G257" s="35"/>
      <c r="H257" s="36"/>
      <c r="I257" s="118">
        <f>56.13-34</f>
        <v>22.13</v>
      </c>
      <c r="J257" s="15"/>
      <c r="K257" s="15"/>
      <c r="L257" s="78"/>
      <c r="M257" s="78"/>
      <c r="N257" s="78"/>
      <c r="O257" s="78"/>
      <c r="P257" s="78"/>
      <c r="Q257" s="78"/>
      <c r="R257" s="78"/>
      <c r="S257" s="78"/>
      <c r="T257" s="78"/>
      <c r="U257" s="78"/>
      <c r="V257" s="78"/>
      <c r="W257" s="78"/>
      <c r="X257" s="78"/>
      <c r="Y257" s="78"/>
      <c r="Z257" s="78"/>
    </row>
    <row r="258" ht="15.75" customHeight="1">
      <c r="A258" s="19"/>
      <c r="B258" s="57" t="s">
        <v>151</v>
      </c>
      <c r="C258" s="93"/>
      <c r="D258" s="52"/>
      <c r="E258" s="52"/>
      <c r="F258" s="34"/>
      <c r="G258" s="35"/>
      <c r="H258" s="36"/>
      <c r="I258" s="118">
        <f>19.91-I249</f>
        <v>13.83</v>
      </c>
      <c r="J258" s="15"/>
      <c r="K258" s="15"/>
      <c r="L258" s="78"/>
      <c r="M258" s="78"/>
      <c r="N258" s="78"/>
      <c r="O258" s="78"/>
      <c r="P258" s="78"/>
      <c r="Q258" s="78"/>
      <c r="R258" s="78"/>
      <c r="S258" s="78"/>
      <c r="T258" s="78"/>
      <c r="U258" s="78"/>
      <c r="V258" s="78"/>
      <c r="W258" s="78"/>
      <c r="X258" s="78"/>
      <c r="Y258" s="78"/>
      <c r="Z258" s="78"/>
    </row>
    <row r="259" ht="15.75" customHeight="1">
      <c r="A259" s="19"/>
      <c r="B259" s="38" t="s">
        <v>99</v>
      </c>
      <c r="C259" s="39"/>
      <c r="D259" s="39"/>
      <c r="E259" s="39"/>
      <c r="F259" s="39"/>
      <c r="G259" s="39"/>
      <c r="H259" s="40"/>
      <c r="I259" s="41">
        <f>ROUNDUP(SUM(I256:I258),2)</f>
        <v>47.45</v>
      </c>
      <c r="J259" s="4"/>
      <c r="K259" s="4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</row>
    <row r="260" ht="15.75" customHeight="1">
      <c r="A260" s="19"/>
      <c r="B260" s="56"/>
      <c r="C260" s="90"/>
      <c r="D260" s="90"/>
      <c r="E260" s="90"/>
      <c r="F260" s="90"/>
      <c r="G260" s="91"/>
      <c r="H260" s="90"/>
      <c r="I260" s="90"/>
      <c r="J260" s="4"/>
      <c r="K260" s="4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</row>
    <row r="261" ht="15.75" customHeight="1">
      <c r="A261" s="17" t="s">
        <v>152</v>
      </c>
      <c r="B261" s="42" t="s">
        <v>153</v>
      </c>
      <c r="J261" s="4"/>
      <c r="K261" s="4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</row>
    <row r="262" ht="15.75" customHeight="1">
      <c r="A262" s="12"/>
      <c r="B262" s="42"/>
      <c r="C262" s="42"/>
      <c r="D262" s="68"/>
      <c r="E262" s="42"/>
      <c r="F262" s="42"/>
      <c r="G262" s="69"/>
      <c r="H262" s="42"/>
      <c r="I262" s="42"/>
      <c r="J262" s="4"/>
      <c r="K262" s="4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</row>
    <row r="263" ht="15.75" customHeight="1">
      <c r="A263" s="19"/>
      <c r="B263" s="24" t="s">
        <v>6</v>
      </c>
      <c r="C263" s="25" t="s">
        <v>8</v>
      </c>
      <c r="D263" s="25" t="s">
        <v>9</v>
      </c>
      <c r="E263" s="25" t="s">
        <v>10</v>
      </c>
      <c r="F263" s="25" t="s">
        <v>21</v>
      </c>
      <c r="G263" s="84"/>
      <c r="H263" s="27"/>
      <c r="I263" s="85" t="s">
        <v>86</v>
      </c>
      <c r="J263" s="29"/>
      <c r="K263" s="29"/>
      <c r="L263" s="30"/>
      <c r="M263" s="30"/>
      <c r="N263" s="30"/>
      <c r="O263" s="30"/>
      <c r="P263" s="30"/>
      <c r="Q263" s="30"/>
      <c r="R263" s="30"/>
      <c r="S263" s="30"/>
      <c r="T263" s="30"/>
      <c r="U263" s="30"/>
      <c r="V263" s="30"/>
      <c r="W263" s="30"/>
      <c r="X263" s="30"/>
      <c r="Y263" s="30"/>
      <c r="Z263" s="30"/>
    </row>
    <row r="264" ht="15.75" customHeight="1">
      <c r="A264" s="19"/>
      <c r="B264" s="86" t="s">
        <v>146</v>
      </c>
      <c r="C264" s="52"/>
      <c r="D264" s="52"/>
      <c r="E264" s="52"/>
      <c r="F264" s="121"/>
      <c r="G264" s="70"/>
      <c r="H264" s="54"/>
      <c r="I264" s="112">
        <v>0.97</v>
      </c>
      <c r="J264" s="29"/>
      <c r="K264" s="29"/>
      <c r="L264" s="30"/>
      <c r="M264" s="30"/>
      <c r="N264" s="30"/>
      <c r="O264" s="30"/>
      <c r="P264" s="30"/>
      <c r="Q264" s="30"/>
      <c r="R264" s="30"/>
      <c r="S264" s="30"/>
      <c r="T264" s="30"/>
      <c r="U264" s="30"/>
      <c r="V264" s="30"/>
      <c r="W264" s="30"/>
      <c r="X264" s="30"/>
      <c r="Y264" s="30"/>
      <c r="Z264" s="30"/>
    </row>
    <row r="265" ht="15.75" customHeight="1">
      <c r="A265" s="19"/>
      <c r="B265" s="51"/>
      <c r="C265" s="52"/>
      <c r="D265" s="52"/>
      <c r="E265" s="52"/>
      <c r="F265" s="76"/>
      <c r="G265" s="53"/>
      <c r="H265" s="54"/>
      <c r="I265" s="112">
        <v>3.4</v>
      </c>
      <c r="J265" s="29"/>
      <c r="K265" s="122"/>
      <c r="L265" s="30"/>
      <c r="M265" s="30"/>
      <c r="N265" s="30"/>
      <c r="O265" s="30"/>
      <c r="P265" s="30"/>
      <c r="Q265" s="30"/>
      <c r="R265" s="30"/>
      <c r="S265" s="30"/>
      <c r="T265" s="30"/>
      <c r="U265" s="30"/>
      <c r="V265" s="30"/>
      <c r="W265" s="30"/>
      <c r="X265" s="30"/>
      <c r="Y265" s="30"/>
      <c r="Z265" s="30"/>
    </row>
    <row r="266" ht="15.75" customHeight="1">
      <c r="A266" s="19"/>
      <c r="B266" s="51"/>
      <c r="C266" s="52"/>
      <c r="D266" s="52"/>
      <c r="E266" s="52"/>
      <c r="F266" s="52"/>
      <c r="G266" s="53"/>
      <c r="H266" s="54"/>
      <c r="I266" s="112">
        <v>1.15</v>
      </c>
      <c r="J266" s="29"/>
      <c r="K266" s="29"/>
      <c r="L266" s="30"/>
      <c r="M266" s="30"/>
      <c r="N266" s="30"/>
      <c r="O266" s="30"/>
      <c r="P266" s="30"/>
      <c r="Q266" s="30"/>
      <c r="R266" s="30"/>
      <c r="S266" s="30"/>
      <c r="T266" s="30"/>
      <c r="U266" s="30"/>
      <c r="V266" s="30"/>
      <c r="W266" s="30"/>
      <c r="X266" s="30"/>
      <c r="Y266" s="30"/>
      <c r="Z266" s="30"/>
    </row>
    <row r="267" ht="15.75" customHeight="1">
      <c r="A267" s="19"/>
      <c r="B267" s="51"/>
      <c r="C267" s="52"/>
      <c r="D267" s="52"/>
      <c r="E267" s="52"/>
      <c r="F267" s="52"/>
      <c r="G267" s="53"/>
      <c r="H267" s="54"/>
      <c r="I267" s="112">
        <v>4.07</v>
      </c>
      <c r="J267" s="29"/>
      <c r="K267" s="29"/>
      <c r="L267" s="30"/>
      <c r="M267" s="30"/>
      <c r="N267" s="30"/>
      <c r="O267" s="30"/>
      <c r="P267" s="30"/>
      <c r="Q267" s="30"/>
      <c r="R267" s="30"/>
      <c r="S267" s="30"/>
      <c r="T267" s="30"/>
      <c r="U267" s="30"/>
      <c r="V267" s="30"/>
      <c r="W267" s="30"/>
      <c r="X267" s="30"/>
      <c r="Y267" s="30"/>
      <c r="Z267" s="30"/>
    </row>
    <row r="268" ht="15.75" customHeight="1">
      <c r="A268" s="19"/>
      <c r="B268" s="38" t="s">
        <v>27</v>
      </c>
      <c r="C268" s="39"/>
      <c r="D268" s="39"/>
      <c r="E268" s="39"/>
      <c r="F268" s="39"/>
      <c r="G268" s="39"/>
      <c r="H268" s="40"/>
      <c r="I268" s="41">
        <f>ROUNDUP(SUM(I265:I267),2)</f>
        <v>8.62</v>
      </c>
      <c r="J268" s="22"/>
      <c r="K268" s="22"/>
      <c r="L268" s="23"/>
      <c r="M268" s="23"/>
      <c r="N268" s="23"/>
      <c r="O268" s="23"/>
      <c r="P268" s="23"/>
      <c r="Q268" s="23"/>
      <c r="R268" s="23"/>
      <c r="S268" s="23"/>
      <c r="T268" s="23"/>
      <c r="U268" s="23"/>
      <c r="V268" s="23"/>
      <c r="W268" s="23"/>
      <c r="X268" s="23"/>
      <c r="Y268" s="23"/>
      <c r="Z268" s="23"/>
    </row>
    <row r="269" ht="15.75" customHeight="1">
      <c r="A269" s="12"/>
      <c r="B269" s="42"/>
      <c r="C269" s="42"/>
      <c r="D269" s="68"/>
      <c r="E269" s="42"/>
      <c r="F269" s="42"/>
      <c r="G269" s="69"/>
      <c r="H269" s="42"/>
      <c r="I269" s="42"/>
      <c r="J269" s="4"/>
      <c r="K269" s="4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</row>
    <row r="270" ht="15.0" customHeight="1">
      <c r="A270" s="17" t="s">
        <v>154</v>
      </c>
      <c r="B270" s="88" t="s">
        <v>155</v>
      </c>
      <c r="C270" s="89"/>
      <c r="D270" s="90"/>
      <c r="E270" s="89"/>
      <c r="F270" s="56"/>
      <c r="G270" s="91"/>
      <c r="H270" s="56"/>
      <c r="I270" s="90"/>
      <c r="J270" s="4"/>
      <c r="K270" s="4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</row>
    <row r="271" ht="15.75" customHeight="1">
      <c r="A271" s="12"/>
      <c r="B271" s="20"/>
      <c r="C271" s="15"/>
      <c r="D271" s="15"/>
      <c r="E271" s="15"/>
      <c r="F271" s="15"/>
      <c r="G271" s="16"/>
      <c r="H271" s="15"/>
      <c r="I271" s="15"/>
      <c r="J271" s="4"/>
      <c r="K271" s="4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</row>
    <row r="272" ht="15.75" customHeight="1">
      <c r="A272" s="19"/>
      <c r="B272" s="24" t="s">
        <v>6</v>
      </c>
      <c r="C272" s="25" t="s">
        <v>7</v>
      </c>
      <c r="D272" s="43" t="s">
        <v>8</v>
      </c>
      <c r="E272" s="43" t="s">
        <v>108</v>
      </c>
      <c r="F272" s="43" t="s">
        <v>9</v>
      </c>
      <c r="G272" s="94" t="s">
        <v>109</v>
      </c>
      <c r="H272" s="27"/>
      <c r="I272" s="85" t="s">
        <v>110</v>
      </c>
      <c r="J272" s="15"/>
      <c r="K272" s="15"/>
      <c r="L272" s="78"/>
      <c r="M272" s="78"/>
      <c r="N272" s="78"/>
      <c r="O272" s="78"/>
      <c r="P272" s="78"/>
      <c r="Q272" s="78"/>
      <c r="R272" s="78"/>
      <c r="S272" s="78"/>
      <c r="T272" s="78"/>
      <c r="U272" s="78"/>
      <c r="V272" s="78"/>
      <c r="W272" s="78"/>
      <c r="X272" s="78"/>
      <c r="Y272" s="78"/>
      <c r="Z272" s="78"/>
    </row>
    <row r="273" ht="15.75" customHeight="1">
      <c r="A273" s="19"/>
      <c r="B273" s="31"/>
      <c r="C273" s="102"/>
      <c r="D273" s="60">
        <v>123.1</v>
      </c>
      <c r="E273" s="52"/>
      <c r="F273" s="103"/>
      <c r="G273" s="104">
        <v>0.154</v>
      </c>
      <c r="H273" s="105"/>
      <c r="I273" s="106">
        <f t="shared" ref="I273:I276" si="23">D273*G273</f>
        <v>18.9574</v>
      </c>
      <c r="J273" s="15"/>
      <c r="K273" s="15"/>
      <c r="L273" s="78"/>
      <c r="M273" s="78"/>
      <c r="N273" s="78"/>
      <c r="O273" s="78"/>
      <c r="P273" s="78"/>
      <c r="Q273" s="78"/>
      <c r="R273" s="78"/>
      <c r="S273" s="78"/>
      <c r="T273" s="78"/>
      <c r="U273" s="78"/>
      <c r="V273" s="78"/>
      <c r="W273" s="78"/>
      <c r="X273" s="78"/>
      <c r="Y273" s="78"/>
      <c r="Z273" s="78"/>
    </row>
    <row r="274" ht="15.75" customHeight="1">
      <c r="A274" s="19"/>
      <c r="B274" s="31"/>
      <c r="C274" s="102"/>
      <c r="D274" s="111">
        <v>344.4</v>
      </c>
      <c r="E274" s="52"/>
      <c r="F274" s="103"/>
      <c r="G274" s="104">
        <v>0.154</v>
      </c>
      <c r="H274" s="105"/>
      <c r="I274" s="106">
        <f t="shared" si="23"/>
        <v>53.0376</v>
      </c>
      <c r="J274" s="15"/>
      <c r="K274" s="15"/>
      <c r="L274" s="78"/>
      <c r="M274" s="78"/>
      <c r="N274" s="78"/>
      <c r="O274" s="78"/>
      <c r="P274" s="78"/>
      <c r="Q274" s="78"/>
      <c r="R274" s="78"/>
      <c r="S274" s="78"/>
      <c r="T274" s="78"/>
      <c r="U274" s="78"/>
      <c r="V274" s="78"/>
      <c r="W274" s="78"/>
      <c r="X274" s="78"/>
      <c r="Y274" s="78"/>
      <c r="Z274" s="78"/>
    </row>
    <row r="275" ht="15.75" customHeight="1">
      <c r="A275" s="19"/>
      <c r="B275" s="31"/>
      <c r="C275" s="102"/>
      <c r="D275" s="111">
        <v>128.8</v>
      </c>
      <c r="E275" s="52"/>
      <c r="F275" s="103"/>
      <c r="G275" s="104">
        <v>0.154</v>
      </c>
      <c r="H275" s="105"/>
      <c r="I275" s="106">
        <f t="shared" si="23"/>
        <v>19.8352</v>
      </c>
      <c r="J275" s="15"/>
      <c r="K275" s="15"/>
      <c r="L275" s="78"/>
      <c r="M275" s="78"/>
      <c r="N275" s="78"/>
      <c r="O275" s="78"/>
      <c r="P275" s="78"/>
      <c r="Q275" s="78"/>
      <c r="R275" s="78"/>
      <c r="S275" s="78"/>
      <c r="T275" s="78"/>
      <c r="U275" s="78"/>
      <c r="V275" s="78"/>
      <c r="W275" s="78"/>
      <c r="X275" s="78"/>
      <c r="Y275" s="78"/>
      <c r="Z275" s="78"/>
    </row>
    <row r="276" ht="15.75" customHeight="1">
      <c r="A276" s="19"/>
      <c r="B276" s="31"/>
      <c r="C276" s="93"/>
      <c r="D276" s="60">
        <v>412.4</v>
      </c>
      <c r="E276" s="52"/>
      <c r="F276" s="34"/>
      <c r="G276" s="104">
        <v>0.154</v>
      </c>
      <c r="H276" s="36"/>
      <c r="I276" s="106">
        <f t="shared" si="23"/>
        <v>63.5096</v>
      </c>
      <c r="J276" s="15"/>
      <c r="K276" s="15"/>
      <c r="L276" s="78"/>
      <c r="M276" s="78"/>
      <c r="N276" s="78"/>
      <c r="O276" s="78"/>
      <c r="P276" s="78"/>
      <c r="Q276" s="78"/>
      <c r="R276" s="78"/>
      <c r="S276" s="78"/>
      <c r="T276" s="78"/>
      <c r="U276" s="78"/>
      <c r="V276" s="78"/>
      <c r="W276" s="78"/>
      <c r="X276" s="78"/>
      <c r="Y276" s="78"/>
      <c r="Z276" s="78"/>
    </row>
    <row r="277" ht="15.75" customHeight="1">
      <c r="A277" s="19"/>
      <c r="B277" s="38" t="s">
        <v>111</v>
      </c>
      <c r="C277" s="39"/>
      <c r="D277" s="39"/>
      <c r="E277" s="39"/>
      <c r="F277" s="39"/>
      <c r="G277" s="39"/>
      <c r="H277" s="40"/>
      <c r="I277" s="41">
        <f>ROUNDUP(SUM(I273:I276),2)</f>
        <v>155.34</v>
      </c>
      <c r="J277" s="4"/>
      <c r="K277" s="4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</row>
    <row r="278" ht="15.75" customHeight="1">
      <c r="A278" s="19"/>
      <c r="B278" s="56"/>
      <c r="C278" s="90"/>
      <c r="D278" s="90"/>
      <c r="E278" s="90"/>
      <c r="F278" s="90"/>
      <c r="G278" s="91"/>
      <c r="H278" s="90"/>
      <c r="I278" s="90"/>
      <c r="J278" s="4"/>
      <c r="K278" s="4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</row>
    <row r="279" ht="15.0" customHeight="1">
      <c r="A279" s="58" t="s">
        <v>156</v>
      </c>
      <c r="B279" s="88" t="s">
        <v>157</v>
      </c>
      <c r="C279" s="89"/>
      <c r="D279" s="90"/>
      <c r="E279" s="89"/>
      <c r="F279" s="56"/>
      <c r="G279" s="91"/>
      <c r="H279" s="56"/>
      <c r="I279" s="90"/>
      <c r="J279" s="4"/>
      <c r="K279" s="4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</row>
    <row r="280" ht="15.75" customHeight="1">
      <c r="A280" s="12"/>
      <c r="B280" s="20"/>
      <c r="C280" s="15"/>
      <c r="D280" s="15"/>
      <c r="E280" s="15"/>
      <c r="F280" s="15"/>
      <c r="G280" s="16"/>
      <c r="H280" s="15"/>
      <c r="I280" s="15"/>
      <c r="J280" s="4"/>
      <c r="K280" s="4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</row>
    <row r="281" ht="15.75" customHeight="1">
      <c r="A281" s="19"/>
      <c r="B281" s="24" t="s">
        <v>6</v>
      </c>
      <c r="C281" s="25" t="s">
        <v>7</v>
      </c>
      <c r="D281" s="43" t="s">
        <v>8</v>
      </c>
      <c r="E281" s="43" t="s">
        <v>108</v>
      </c>
      <c r="F281" s="43" t="s">
        <v>9</v>
      </c>
      <c r="G281" s="94" t="s">
        <v>109</v>
      </c>
      <c r="H281" s="27"/>
      <c r="I281" s="85" t="s">
        <v>110</v>
      </c>
      <c r="J281" s="15"/>
      <c r="K281" s="15"/>
      <c r="L281" s="78"/>
      <c r="M281" s="78"/>
      <c r="N281" s="78"/>
      <c r="O281" s="78"/>
      <c r="P281" s="78"/>
      <c r="Q281" s="78"/>
      <c r="R281" s="78"/>
      <c r="S281" s="78"/>
      <c r="T281" s="78"/>
      <c r="U281" s="78"/>
      <c r="V281" s="78"/>
      <c r="W281" s="78"/>
      <c r="X281" s="78"/>
      <c r="Y281" s="78"/>
      <c r="Z281" s="78"/>
    </row>
    <row r="282" ht="15.75" customHeight="1">
      <c r="A282" s="19"/>
      <c r="B282" s="31"/>
      <c r="C282" s="102"/>
      <c r="D282" s="60">
        <v>111.7</v>
      </c>
      <c r="E282" s="52"/>
      <c r="F282" s="103"/>
      <c r="G282" s="104">
        <v>0.963</v>
      </c>
      <c r="H282" s="105"/>
      <c r="I282" s="106">
        <f t="shared" ref="I282:I285" si="24">D282*G282</f>
        <v>107.5671</v>
      </c>
      <c r="J282" s="15"/>
      <c r="K282" s="15"/>
      <c r="L282" s="78"/>
      <c r="M282" s="78"/>
      <c r="N282" s="78"/>
      <c r="O282" s="78"/>
      <c r="P282" s="78"/>
      <c r="Q282" s="78"/>
      <c r="R282" s="78"/>
      <c r="S282" s="78"/>
      <c r="T282" s="78"/>
      <c r="U282" s="78"/>
      <c r="V282" s="78"/>
      <c r="W282" s="78"/>
      <c r="X282" s="78"/>
      <c r="Y282" s="78"/>
      <c r="Z282" s="78"/>
    </row>
    <row r="283" ht="15.75" customHeight="1">
      <c r="A283" s="19"/>
      <c r="B283" s="31"/>
      <c r="C283" s="102"/>
      <c r="D283" s="60">
        <v>154.9</v>
      </c>
      <c r="E283" s="52"/>
      <c r="F283" s="103"/>
      <c r="G283" s="104">
        <v>0.963</v>
      </c>
      <c r="H283" s="105"/>
      <c r="I283" s="106">
        <f t="shared" si="24"/>
        <v>149.1687</v>
      </c>
      <c r="J283" s="15"/>
      <c r="K283" s="15"/>
      <c r="L283" s="78"/>
      <c r="M283" s="78"/>
      <c r="N283" s="78"/>
      <c r="O283" s="78"/>
      <c r="P283" s="78"/>
      <c r="Q283" s="78"/>
      <c r="R283" s="78"/>
      <c r="S283" s="78"/>
      <c r="T283" s="78"/>
      <c r="U283" s="78"/>
      <c r="V283" s="78"/>
      <c r="W283" s="78"/>
      <c r="X283" s="78"/>
      <c r="Y283" s="78"/>
      <c r="Z283" s="78"/>
    </row>
    <row r="284" ht="15.75" customHeight="1">
      <c r="A284" s="19"/>
      <c r="B284" s="31"/>
      <c r="C284" s="93"/>
      <c r="D284" s="60">
        <v>141.9</v>
      </c>
      <c r="E284" s="52"/>
      <c r="F284" s="34"/>
      <c r="G284" s="104">
        <v>0.963</v>
      </c>
      <c r="H284" s="36"/>
      <c r="I284" s="106">
        <f t="shared" si="24"/>
        <v>136.6497</v>
      </c>
      <c r="J284" s="15"/>
      <c r="K284" s="15"/>
      <c r="L284" s="78"/>
      <c r="M284" s="78"/>
      <c r="N284" s="78"/>
      <c r="O284" s="78"/>
      <c r="P284" s="78"/>
      <c r="Q284" s="78"/>
      <c r="R284" s="78"/>
      <c r="S284" s="78"/>
      <c r="T284" s="78"/>
      <c r="U284" s="78"/>
      <c r="V284" s="78"/>
      <c r="W284" s="78"/>
      <c r="X284" s="78"/>
      <c r="Y284" s="78"/>
      <c r="Z284" s="78"/>
    </row>
    <row r="285" ht="15.75" customHeight="1">
      <c r="A285" s="19"/>
      <c r="B285" s="123"/>
      <c r="C285" s="99"/>
      <c r="D285" s="62">
        <v>224.0</v>
      </c>
      <c r="E285" s="63"/>
      <c r="F285" s="100"/>
      <c r="G285" s="104">
        <v>0.963</v>
      </c>
      <c r="H285" s="101"/>
      <c r="I285" s="106">
        <f t="shared" si="24"/>
        <v>215.712</v>
      </c>
      <c r="J285" s="15"/>
      <c r="K285" s="15"/>
      <c r="L285" s="78"/>
      <c r="M285" s="78"/>
      <c r="N285" s="78"/>
      <c r="O285" s="78"/>
      <c r="P285" s="78"/>
      <c r="Q285" s="78"/>
      <c r="R285" s="78"/>
      <c r="S285" s="78"/>
      <c r="T285" s="78"/>
      <c r="U285" s="78"/>
      <c r="V285" s="78"/>
      <c r="W285" s="78"/>
      <c r="X285" s="78"/>
      <c r="Y285" s="78"/>
      <c r="Z285" s="78"/>
    </row>
    <row r="286" ht="15.75" customHeight="1">
      <c r="A286" s="19"/>
      <c r="B286" s="38" t="s">
        <v>111</v>
      </c>
      <c r="C286" s="39"/>
      <c r="D286" s="39"/>
      <c r="E286" s="39"/>
      <c r="F286" s="39"/>
      <c r="G286" s="39"/>
      <c r="H286" s="40"/>
      <c r="I286" s="41">
        <f>ROUNDUP(SUM(I282:I285),2)</f>
        <v>609.1</v>
      </c>
      <c r="J286" s="4"/>
      <c r="K286" s="4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</row>
    <row r="287" ht="15.75" customHeight="1">
      <c r="A287" s="19"/>
      <c r="B287" s="56"/>
      <c r="C287" s="90"/>
      <c r="D287" s="90"/>
      <c r="E287" s="90"/>
      <c r="F287" s="90"/>
      <c r="G287" s="91"/>
      <c r="H287" s="90"/>
      <c r="I287" s="90"/>
      <c r="J287" s="4"/>
      <c r="K287" s="4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</row>
    <row r="288" ht="15.0" customHeight="1">
      <c r="A288" s="58" t="s">
        <v>158</v>
      </c>
      <c r="B288" s="88" t="s">
        <v>159</v>
      </c>
      <c r="C288" s="89"/>
      <c r="D288" s="90"/>
      <c r="E288" s="89"/>
      <c r="F288" s="56"/>
      <c r="G288" s="91"/>
      <c r="H288" s="56"/>
      <c r="I288" s="90"/>
      <c r="J288" s="4"/>
      <c r="K288" s="4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</row>
    <row r="289" ht="15.75" customHeight="1">
      <c r="A289" s="12"/>
      <c r="B289" s="20"/>
      <c r="C289" s="15"/>
      <c r="D289" s="15"/>
      <c r="E289" s="15"/>
      <c r="F289" s="15"/>
      <c r="G289" s="16"/>
      <c r="H289" s="15"/>
      <c r="I289" s="15"/>
      <c r="J289" s="4"/>
      <c r="K289" s="4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</row>
    <row r="290" ht="15.75" customHeight="1">
      <c r="A290" s="19"/>
      <c r="B290" s="24" t="s">
        <v>6</v>
      </c>
      <c r="C290" s="25" t="s">
        <v>7</v>
      </c>
      <c r="D290" s="43" t="s">
        <v>8</v>
      </c>
      <c r="E290" s="43" t="s">
        <v>108</v>
      </c>
      <c r="F290" s="43" t="s">
        <v>9</v>
      </c>
      <c r="G290" s="94" t="s">
        <v>109</v>
      </c>
      <c r="H290" s="27"/>
      <c r="I290" s="85" t="s">
        <v>110</v>
      </c>
      <c r="J290" s="15"/>
      <c r="K290" s="15"/>
      <c r="L290" s="78"/>
      <c r="M290" s="78"/>
      <c r="N290" s="78"/>
      <c r="O290" s="78"/>
      <c r="P290" s="78"/>
      <c r="Q290" s="78"/>
      <c r="R290" s="78"/>
      <c r="S290" s="78"/>
      <c r="T290" s="78"/>
      <c r="U290" s="78"/>
      <c r="V290" s="78"/>
      <c r="W290" s="78"/>
      <c r="X290" s="78"/>
      <c r="Y290" s="78"/>
      <c r="Z290" s="78"/>
    </row>
    <row r="291" ht="15.75" customHeight="1">
      <c r="A291" s="19"/>
      <c r="B291" s="124"/>
      <c r="C291" s="102"/>
      <c r="D291" s="60">
        <v>163.1</v>
      </c>
      <c r="E291" s="52"/>
      <c r="F291" s="103"/>
      <c r="G291" s="104">
        <v>1.578</v>
      </c>
      <c r="H291" s="105"/>
      <c r="I291" s="106">
        <f t="shared" ref="I291:I292" si="25">D291*G291</f>
        <v>257.3718</v>
      </c>
      <c r="J291" s="15"/>
      <c r="K291" s="15"/>
      <c r="L291" s="78"/>
      <c r="M291" s="78"/>
      <c r="N291" s="78"/>
      <c r="O291" s="78"/>
      <c r="P291" s="78"/>
      <c r="Q291" s="78"/>
      <c r="R291" s="78"/>
      <c r="S291" s="78"/>
      <c r="T291" s="78"/>
      <c r="U291" s="78"/>
      <c r="V291" s="78"/>
      <c r="W291" s="78"/>
      <c r="X291" s="78"/>
      <c r="Y291" s="78"/>
      <c r="Z291" s="78"/>
    </row>
    <row r="292" ht="15.75" customHeight="1">
      <c r="A292" s="19"/>
      <c r="B292" s="124"/>
      <c r="C292" s="102"/>
      <c r="D292" s="60">
        <v>134.2</v>
      </c>
      <c r="E292" s="52"/>
      <c r="F292" s="103"/>
      <c r="G292" s="104">
        <v>1.578</v>
      </c>
      <c r="H292" s="105"/>
      <c r="I292" s="106">
        <f t="shared" si="25"/>
        <v>211.7676</v>
      </c>
      <c r="J292" s="15"/>
      <c r="K292" s="15"/>
      <c r="L292" s="78"/>
      <c r="M292" s="78"/>
      <c r="N292" s="78"/>
      <c r="O292" s="78"/>
      <c r="P292" s="78"/>
      <c r="Q292" s="78"/>
      <c r="R292" s="78"/>
      <c r="S292" s="78"/>
      <c r="T292" s="78"/>
      <c r="U292" s="78"/>
      <c r="V292" s="78"/>
      <c r="W292" s="78"/>
      <c r="X292" s="78"/>
      <c r="Y292" s="78"/>
      <c r="Z292" s="78"/>
    </row>
    <row r="293" ht="15.75" customHeight="1">
      <c r="A293" s="19"/>
      <c r="B293" s="38" t="s">
        <v>111</v>
      </c>
      <c r="C293" s="39"/>
      <c r="D293" s="39"/>
      <c r="E293" s="39"/>
      <c r="F293" s="39"/>
      <c r="G293" s="39"/>
      <c r="H293" s="40"/>
      <c r="I293" s="41">
        <f>ROUNDUP(SUM(I291:I292),2)</f>
        <v>469.14</v>
      </c>
      <c r="J293" s="4"/>
      <c r="K293" s="4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</row>
    <row r="294" ht="15.75" customHeight="1">
      <c r="A294" s="19"/>
      <c r="B294" s="56"/>
      <c r="C294" s="90"/>
      <c r="D294" s="90"/>
      <c r="E294" s="90"/>
      <c r="F294" s="90"/>
      <c r="G294" s="91"/>
      <c r="H294" s="90"/>
      <c r="I294" s="90"/>
      <c r="J294" s="4"/>
      <c r="K294" s="4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</row>
    <row r="295" ht="14.25" customHeight="1">
      <c r="A295" s="17" t="s">
        <v>160</v>
      </c>
      <c r="B295" s="18" t="s">
        <v>161</v>
      </c>
      <c r="C295" s="15"/>
      <c r="D295" s="15"/>
      <c r="E295" s="15"/>
      <c r="F295" s="15"/>
      <c r="G295" s="16"/>
      <c r="H295" s="15"/>
      <c r="I295" s="15"/>
      <c r="J295" s="4"/>
      <c r="K295" s="4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</row>
    <row r="296" ht="15.75" customHeight="1">
      <c r="A296" s="12"/>
      <c r="B296" s="56"/>
      <c r="C296" s="15"/>
      <c r="D296" s="15"/>
      <c r="E296" s="15"/>
      <c r="F296" s="15"/>
      <c r="G296" s="16"/>
      <c r="H296" s="15"/>
      <c r="I296" s="15"/>
      <c r="J296" s="4"/>
      <c r="K296" s="4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</row>
    <row r="297" ht="15.0" customHeight="1">
      <c r="A297" s="17" t="s">
        <v>162</v>
      </c>
      <c r="B297" s="56" t="s">
        <v>163</v>
      </c>
      <c r="C297" s="89"/>
      <c r="D297" s="90"/>
      <c r="E297" s="89"/>
      <c r="F297" s="56"/>
      <c r="G297" s="91"/>
      <c r="H297" s="56"/>
      <c r="I297" s="90"/>
      <c r="J297" s="4"/>
      <c r="K297" s="4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</row>
    <row r="298" ht="15.75" customHeight="1">
      <c r="A298" s="12"/>
      <c r="B298" s="20"/>
      <c r="C298" s="15"/>
      <c r="D298" s="15"/>
      <c r="E298" s="15"/>
      <c r="F298" s="15"/>
      <c r="G298" s="16"/>
      <c r="H298" s="15"/>
      <c r="I298" s="15"/>
      <c r="J298" s="4"/>
      <c r="K298" s="4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</row>
    <row r="299" ht="15.75" customHeight="1">
      <c r="A299" s="19"/>
      <c r="B299" s="24" t="s">
        <v>6</v>
      </c>
      <c r="C299" s="25" t="s">
        <v>96</v>
      </c>
      <c r="D299" s="25" t="s">
        <v>10</v>
      </c>
      <c r="E299" s="43" t="s">
        <v>8</v>
      </c>
      <c r="F299" s="43" t="s">
        <v>9</v>
      </c>
      <c r="G299" s="26"/>
      <c r="H299" s="27"/>
      <c r="I299" s="85" t="s">
        <v>14</v>
      </c>
      <c r="J299" s="15"/>
      <c r="K299" s="15"/>
      <c r="L299" s="78"/>
      <c r="M299" s="78"/>
      <c r="N299" s="78"/>
      <c r="O299" s="78"/>
      <c r="P299" s="78"/>
      <c r="Q299" s="78"/>
      <c r="R299" s="78"/>
      <c r="S299" s="78"/>
      <c r="T299" s="78"/>
      <c r="U299" s="78"/>
      <c r="V299" s="78"/>
      <c r="W299" s="78"/>
      <c r="X299" s="78"/>
      <c r="Y299" s="78"/>
      <c r="Z299" s="78"/>
    </row>
    <row r="300" ht="15.75" customHeight="1">
      <c r="A300" s="19"/>
      <c r="B300" s="57" t="s">
        <v>164</v>
      </c>
      <c r="C300" s="52"/>
      <c r="D300" s="52"/>
      <c r="E300" s="52"/>
      <c r="F300" s="34"/>
      <c r="G300" s="35"/>
      <c r="H300" s="36"/>
      <c r="I300" s="118">
        <v>69.97</v>
      </c>
      <c r="J300" s="15"/>
      <c r="K300" s="15"/>
      <c r="L300" s="78"/>
      <c r="M300" s="78"/>
      <c r="N300" s="78"/>
      <c r="O300" s="78"/>
      <c r="P300" s="78"/>
      <c r="Q300" s="78"/>
      <c r="R300" s="78"/>
      <c r="S300" s="78"/>
      <c r="T300" s="78"/>
      <c r="U300" s="78"/>
      <c r="V300" s="78"/>
      <c r="W300" s="78"/>
      <c r="X300" s="78"/>
      <c r="Y300" s="78"/>
      <c r="Z300" s="78"/>
    </row>
    <row r="301" ht="15.75" customHeight="1">
      <c r="A301" s="19"/>
      <c r="B301" s="57" t="s">
        <v>165</v>
      </c>
      <c r="C301" s="93"/>
      <c r="D301" s="52"/>
      <c r="E301" s="52"/>
      <c r="F301" s="34"/>
      <c r="G301" s="35"/>
      <c r="H301" s="36"/>
      <c r="I301" s="118">
        <v>66.23</v>
      </c>
      <c r="J301" s="15"/>
      <c r="K301" s="15"/>
      <c r="L301" s="78"/>
      <c r="M301" s="78"/>
      <c r="N301" s="78"/>
      <c r="O301" s="78"/>
      <c r="P301" s="78"/>
      <c r="Q301" s="78"/>
      <c r="R301" s="78"/>
      <c r="S301" s="78"/>
      <c r="T301" s="78"/>
      <c r="U301" s="78"/>
      <c r="V301" s="78"/>
      <c r="W301" s="78"/>
      <c r="X301" s="78"/>
      <c r="Y301" s="78"/>
      <c r="Z301" s="78"/>
    </row>
    <row r="302" ht="15.75" customHeight="1">
      <c r="A302" s="19"/>
      <c r="B302" s="57" t="s">
        <v>166</v>
      </c>
      <c r="C302" s="93"/>
      <c r="D302" s="52"/>
      <c r="E302" s="52"/>
      <c r="F302" s="34"/>
      <c r="G302" s="35"/>
      <c r="H302" s="36"/>
      <c r="I302" s="118">
        <v>58.81</v>
      </c>
      <c r="J302" s="15"/>
      <c r="K302" s="15"/>
      <c r="L302" s="78"/>
      <c r="M302" s="78"/>
      <c r="N302" s="78"/>
      <c r="O302" s="78"/>
      <c r="P302" s="78"/>
      <c r="Q302" s="78"/>
      <c r="R302" s="78"/>
      <c r="S302" s="78"/>
      <c r="T302" s="78"/>
      <c r="U302" s="78"/>
      <c r="V302" s="78"/>
      <c r="W302" s="78"/>
      <c r="X302" s="78"/>
      <c r="Y302" s="78"/>
      <c r="Z302" s="78"/>
    </row>
    <row r="303" ht="15.75" customHeight="1">
      <c r="A303" s="19"/>
      <c r="B303" s="125" t="s">
        <v>167</v>
      </c>
      <c r="C303" s="96"/>
      <c r="D303" s="97"/>
      <c r="E303" s="97"/>
      <c r="F303" s="97"/>
      <c r="G303" s="97"/>
      <c r="H303" s="98"/>
      <c r="I303" s="126">
        <v>14.78</v>
      </c>
      <c r="J303" s="4"/>
      <c r="K303" s="4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</row>
    <row r="304" ht="15.75" customHeight="1">
      <c r="A304" s="19"/>
      <c r="B304" s="38" t="s">
        <v>99</v>
      </c>
      <c r="C304" s="39"/>
      <c r="D304" s="39"/>
      <c r="E304" s="39"/>
      <c r="F304" s="39"/>
      <c r="G304" s="39"/>
      <c r="H304" s="40"/>
      <c r="I304" s="41">
        <f>ROUNDUP(SUM(I300:I303),2)</f>
        <v>209.79</v>
      </c>
      <c r="J304" s="4"/>
      <c r="K304" s="4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</row>
    <row r="305" ht="15.75" customHeight="1">
      <c r="A305" s="19"/>
      <c r="B305" s="56"/>
      <c r="C305" s="90"/>
      <c r="D305" s="90"/>
      <c r="E305" s="90"/>
      <c r="F305" s="90"/>
      <c r="G305" s="91"/>
      <c r="H305" s="90"/>
      <c r="I305" s="90"/>
      <c r="J305" s="4"/>
      <c r="K305" s="4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</row>
    <row r="306" ht="15.0" customHeight="1">
      <c r="A306" s="17" t="s">
        <v>168</v>
      </c>
      <c r="B306" s="56" t="s">
        <v>169</v>
      </c>
      <c r="C306" s="89"/>
      <c r="D306" s="90"/>
      <c r="E306" s="89"/>
      <c r="F306" s="56"/>
      <c r="G306" s="91"/>
      <c r="H306" s="56"/>
      <c r="I306" s="90"/>
      <c r="J306" s="4"/>
      <c r="K306" s="4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</row>
    <row r="307" ht="15.75" customHeight="1">
      <c r="A307" s="12"/>
      <c r="B307" s="20"/>
      <c r="C307" s="15"/>
      <c r="D307" s="15"/>
      <c r="E307" s="15"/>
      <c r="F307" s="15"/>
      <c r="G307" s="16"/>
      <c r="H307" s="15"/>
      <c r="I307" s="15"/>
      <c r="J307" s="4"/>
      <c r="K307" s="4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</row>
    <row r="308" ht="15.75" customHeight="1">
      <c r="A308" s="19"/>
      <c r="B308" s="24" t="s">
        <v>6</v>
      </c>
      <c r="C308" s="25" t="s">
        <v>96</v>
      </c>
      <c r="D308" s="25" t="s">
        <v>10</v>
      </c>
      <c r="E308" s="43" t="s">
        <v>8</v>
      </c>
      <c r="F308" s="43" t="s">
        <v>9</v>
      </c>
      <c r="G308" s="26"/>
      <c r="H308" s="27"/>
      <c r="I308" s="85" t="s">
        <v>170</v>
      </c>
      <c r="J308" s="15"/>
      <c r="K308" s="15"/>
      <c r="L308" s="78"/>
      <c r="M308" s="78"/>
      <c r="N308" s="78"/>
      <c r="O308" s="78"/>
      <c r="P308" s="78"/>
      <c r="Q308" s="78"/>
      <c r="R308" s="78"/>
      <c r="S308" s="78"/>
      <c r="T308" s="78"/>
      <c r="U308" s="78"/>
      <c r="V308" s="78"/>
      <c r="W308" s="78"/>
      <c r="X308" s="78"/>
      <c r="Y308" s="78"/>
      <c r="Z308" s="78"/>
    </row>
    <row r="309" ht="15.75" customHeight="1">
      <c r="A309" s="19"/>
      <c r="B309" s="57" t="s">
        <v>164</v>
      </c>
      <c r="C309" s="52"/>
      <c r="D309" s="52"/>
      <c r="E309" s="52"/>
      <c r="F309" s="34"/>
      <c r="G309" s="35"/>
      <c r="H309" s="36"/>
      <c r="I309" s="118">
        <v>4.84</v>
      </c>
      <c r="J309" s="15"/>
      <c r="K309" s="15"/>
      <c r="L309" s="78"/>
      <c r="M309" s="78"/>
      <c r="N309" s="78"/>
      <c r="O309" s="78"/>
      <c r="P309" s="78"/>
      <c r="Q309" s="78"/>
      <c r="R309" s="78"/>
      <c r="S309" s="78"/>
      <c r="T309" s="78"/>
      <c r="U309" s="78"/>
      <c r="V309" s="78"/>
      <c r="W309" s="78"/>
      <c r="X309" s="78"/>
      <c r="Y309" s="78"/>
      <c r="Z309" s="78"/>
    </row>
    <row r="310" ht="15.75" customHeight="1">
      <c r="A310" s="19"/>
      <c r="B310" s="57" t="s">
        <v>165</v>
      </c>
      <c r="C310" s="93"/>
      <c r="D310" s="52"/>
      <c r="E310" s="52"/>
      <c r="F310" s="34"/>
      <c r="G310" s="35"/>
      <c r="H310" s="36"/>
      <c r="I310" s="118">
        <v>4.66</v>
      </c>
      <c r="J310" s="15"/>
      <c r="K310" s="15"/>
      <c r="L310" s="78"/>
      <c r="M310" s="78"/>
      <c r="N310" s="78"/>
      <c r="O310" s="78"/>
      <c r="P310" s="78"/>
      <c r="Q310" s="78"/>
      <c r="R310" s="78"/>
      <c r="S310" s="78"/>
      <c r="T310" s="78"/>
      <c r="U310" s="78"/>
      <c r="V310" s="78"/>
      <c r="W310" s="78"/>
      <c r="X310" s="78"/>
      <c r="Y310" s="78"/>
      <c r="Z310" s="78"/>
    </row>
    <row r="311" ht="15.75" customHeight="1">
      <c r="A311" s="19"/>
      <c r="B311" s="57" t="s">
        <v>166</v>
      </c>
      <c r="C311" s="93"/>
      <c r="D311" s="52"/>
      <c r="E311" s="52"/>
      <c r="F311" s="34"/>
      <c r="G311" s="35"/>
      <c r="H311" s="36"/>
      <c r="I311" s="118">
        <v>4.19</v>
      </c>
      <c r="J311" s="15"/>
      <c r="K311" s="15"/>
      <c r="L311" s="78"/>
      <c r="M311" s="78"/>
      <c r="N311" s="78"/>
      <c r="O311" s="78"/>
      <c r="P311" s="78"/>
      <c r="Q311" s="78"/>
      <c r="R311" s="78"/>
      <c r="S311" s="78"/>
      <c r="T311" s="78"/>
      <c r="U311" s="78"/>
      <c r="V311" s="78"/>
      <c r="W311" s="78"/>
      <c r="X311" s="78"/>
      <c r="Y311" s="78"/>
      <c r="Z311" s="78"/>
    </row>
    <row r="312" ht="15.75" customHeight="1">
      <c r="A312" s="19"/>
      <c r="B312" s="125" t="s">
        <v>167</v>
      </c>
      <c r="C312" s="127"/>
      <c r="D312" s="128"/>
      <c r="E312" s="128"/>
      <c r="F312" s="128"/>
      <c r="G312" s="128"/>
      <c r="H312" s="129"/>
      <c r="I312" s="126">
        <v>1.79</v>
      </c>
      <c r="J312" s="4"/>
      <c r="K312" s="4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</row>
    <row r="313" ht="15.75" customHeight="1">
      <c r="A313" s="19"/>
      <c r="B313" s="38" t="s">
        <v>171</v>
      </c>
      <c r="C313" s="39"/>
      <c r="D313" s="39"/>
      <c r="E313" s="39"/>
      <c r="F313" s="39"/>
      <c r="G313" s="39"/>
      <c r="H313" s="40"/>
      <c r="I313" s="41">
        <f>ROUNDUP(SUM(I309:I312),2)</f>
        <v>15.48</v>
      </c>
      <c r="J313" s="4"/>
      <c r="K313" s="4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</row>
    <row r="314" ht="15.75" customHeight="1">
      <c r="A314" s="19"/>
      <c r="B314" s="56"/>
      <c r="C314" s="90"/>
      <c r="D314" s="90"/>
      <c r="E314" s="90"/>
      <c r="F314" s="90"/>
      <c r="G314" s="91"/>
      <c r="H314" s="90"/>
      <c r="I314" s="90"/>
      <c r="J314" s="4"/>
      <c r="K314" s="4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</row>
    <row r="315" ht="15.75" customHeight="1">
      <c r="A315" s="17" t="s">
        <v>172</v>
      </c>
      <c r="B315" s="42" t="s">
        <v>155</v>
      </c>
      <c r="J315" s="4"/>
      <c r="K315" s="4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</row>
    <row r="316" ht="15.75" customHeight="1">
      <c r="A316" s="12"/>
      <c r="B316" s="42"/>
      <c r="C316" s="42"/>
      <c r="D316" s="68"/>
      <c r="E316" s="42"/>
      <c r="F316" s="42"/>
      <c r="G316" s="69"/>
      <c r="H316" s="42"/>
      <c r="I316" s="42"/>
      <c r="J316" s="4"/>
      <c r="K316" s="4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</row>
    <row r="317" ht="15.75" customHeight="1">
      <c r="A317" s="19"/>
      <c r="B317" s="24" t="s">
        <v>6</v>
      </c>
      <c r="C317" s="25" t="s">
        <v>8</v>
      </c>
      <c r="D317" s="25" t="s">
        <v>9</v>
      </c>
      <c r="E317" s="25" t="s">
        <v>10</v>
      </c>
      <c r="F317" s="25" t="s">
        <v>21</v>
      </c>
      <c r="G317" s="94" t="s">
        <v>109</v>
      </c>
      <c r="H317" s="27"/>
      <c r="I317" s="130" t="s">
        <v>110</v>
      </c>
      <c r="J317" s="29"/>
      <c r="K317" s="29"/>
      <c r="L317" s="30"/>
      <c r="M317" s="30"/>
      <c r="N317" s="30"/>
      <c r="O317" s="30"/>
      <c r="P317" s="30"/>
      <c r="Q317" s="30"/>
      <c r="R317" s="30"/>
      <c r="S317" s="30"/>
      <c r="T317" s="30"/>
      <c r="U317" s="30"/>
      <c r="V317" s="30"/>
      <c r="W317" s="30"/>
      <c r="X317" s="30"/>
      <c r="Y317" s="30"/>
      <c r="Z317" s="30"/>
    </row>
    <row r="318" ht="15.75" customHeight="1">
      <c r="A318" s="19"/>
      <c r="B318" s="131" t="s">
        <v>164</v>
      </c>
      <c r="C318" s="52"/>
      <c r="D318" s="60">
        <v>485.2</v>
      </c>
      <c r="E318" s="52"/>
      <c r="F318" s="76"/>
      <c r="G318" s="132">
        <v>0.154</v>
      </c>
      <c r="H318" s="54"/>
      <c r="I318" s="55">
        <f t="shared" ref="I318:I320" si="26">D318*G318</f>
        <v>74.7208</v>
      </c>
      <c r="J318" s="29"/>
      <c r="K318" s="29"/>
      <c r="L318" s="30"/>
      <c r="M318" s="30"/>
      <c r="N318" s="30"/>
      <c r="O318" s="30"/>
      <c r="P318" s="30"/>
      <c r="Q318" s="30"/>
      <c r="R318" s="30"/>
      <c r="S318" s="30"/>
      <c r="T318" s="30"/>
      <c r="U318" s="30"/>
      <c r="V318" s="30"/>
      <c r="W318" s="30"/>
      <c r="X318" s="30"/>
      <c r="Y318" s="30"/>
      <c r="Z318" s="30"/>
    </row>
    <row r="319" ht="15.75" customHeight="1">
      <c r="A319" s="19"/>
      <c r="B319" s="133" t="s">
        <v>165</v>
      </c>
      <c r="C319" s="52"/>
      <c r="D319" s="60">
        <v>395.6</v>
      </c>
      <c r="E319" s="52"/>
      <c r="F319" s="52"/>
      <c r="G319" s="132">
        <v>0.154</v>
      </c>
      <c r="H319" s="54"/>
      <c r="I319" s="55">
        <f t="shared" si="26"/>
        <v>60.9224</v>
      </c>
      <c r="J319" s="29"/>
      <c r="K319" s="29"/>
      <c r="L319" s="30"/>
      <c r="M319" s="30"/>
      <c r="N319" s="30"/>
      <c r="O319" s="30"/>
      <c r="P319" s="30"/>
      <c r="Q319" s="30"/>
      <c r="R319" s="30"/>
      <c r="S319" s="30"/>
      <c r="T319" s="30"/>
      <c r="U319" s="30"/>
      <c r="V319" s="30"/>
      <c r="W319" s="30"/>
      <c r="X319" s="30"/>
      <c r="Y319" s="30"/>
      <c r="Z319" s="30"/>
    </row>
    <row r="320" ht="15.75" customHeight="1">
      <c r="A320" s="19"/>
      <c r="B320" s="57" t="s">
        <v>166</v>
      </c>
      <c r="C320" s="52"/>
      <c r="D320" s="60">
        <v>344.3</v>
      </c>
      <c r="E320" s="52"/>
      <c r="F320" s="52"/>
      <c r="G320" s="132">
        <v>0.154</v>
      </c>
      <c r="H320" s="54"/>
      <c r="I320" s="55">
        <f t="shared" si="26"/>
        <v>53.0222</v>
      </c>
      <c r="J320" s="29"/>
      <c r="K320" s="29"/>
      <c r="L320" s="30"/>
      <c r="M320" s="30"/>
      <c r="N320" s="30"/>
      <c r="O320" s="30"/>
      <c r="P320" s="30"/>
      <c r="Q320" s="30"/>
      <c r="R320" s="30"/>
      <c r="S320" s="30"/>
      <c r="T320" s="30"/>
      <c r="U320" s="30"/>
      <c r="V320" s="30"/>
      <c r="W320" s="30"/>
      <c r="X320" s="30"/>
      <c r="Y320" s="30"/>
      <c r="Z320" s="30"/>
    </row>
    <row r="321" ht="15.75" customHeight="1">
      <c r="A321" s="19"/>
      <c r="B321" s="82" t="s">
        <v>173</v>
      </c>
      <c r="C321" s="39"/>
      <c r="D321" s="39"/>
      <c r="E321" s="39"/>
      <c r="F321" s="39"/>
      <c r="G321" s="39"/>
      <c r="H321" s="40"/>
      <c r="I321" s="41">
        <f>ROUNDUP(SUM(I318:I320),2)</f>
        <v>188.67</v>
      </c>
      <c r="J321" s="22"/>
      <c r="K321" s="22"/>
      <c r="L321" s="23"/>
      <c r="M321" s="23"/>
      <c r="N321" s="23"/>
      <c r="O321" s="23"/>
      <c r="P321" s="23"/>
      <c r="Q321" s="23"/>
      <c r="R321" s="23"/>
      <c r="S321" s="23"/>
      <c r="T321" s="23"/>
      <c r="U321" s="23"/>
      <c r="V321" s="23"/>
      <c r="W321" s="23"/>
      <c r="X321" s="23"/>
      <c r="Y321" s="23"/>
      <c r="Z321" s="23"/>
    </row>
    <row r="322" ht="15.75" customHeight="1">
      <c r="A322" s="12"/>
      <c r="B322" s="42"/>
      <c r="C322" s="42"/>
      <c r="D322" s="68"/>
      <c r="E322" s="42"/>
      <c r="F322" s="42"/>
      <c r="G322" s="69"/>
      <c r="H322" s="42"/>
      <c r="I322" s="42"/>
      <c r="J322" s="4"/>
      <c r="K322" s="4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</row>
    <row r="323" ht="15.0" customHeight="1">
      <c r="A323" s="17" t="s">
        <v>174</v>
      </c>
      <c r="B323" s="88" t="s">
        <v>175</v>
      </c>
      <c r="C323" s="89"/>
      <c r="D323" s="90"/>
      <c r="E323" s="89"/>
      <c r="F323" s="56"/>
      <c r="G323" s="91"/>
      <c r="H323" s="56"/>
      <c r="I323" s="90"/>
      <c r="J323" s="4"/>
      <c r="K323" s="4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</row>
    <row r="324" ht="15.75" customHeight="1">
      <c r="A324" s="12"/>
      <c r="B324" s="20"/>
      <c r="C324" s="15"/>
      <c r="D324" s="15"/>
      <c r="E324" s="15"/>
      <c r="F324" s="15"/>
      <c r="G324" s="16"/>
      <c r="H324" s="15"/>
      <c r="I324" s="15"/>
      <c r="J324" s="4"/>
      <c r="K324" s="4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</row>
    <row r="325" ht="15.75" customHeight="1">
      <c r="A325" s="19"/>
      <c r="B325" s="24" t="s">
        <v>6</v>
      </c>
      <c r="C325" s="25" t="s">
        <v>7</v>
      </c>
      <c r="D325" s="43" t="s">
        <v>8</v>
      </c>
      <c r="E325" s="43" t="s">
        <v>108</v>
      </c>
      <c r="F325" s="43" t="s">
        <v>9</v>
      </c>
      <c r="G325" s="94" t="s">
        <v>109</v>
      </c>
      <c r="H325" s="27"/>
      <c r="I325" s="85" t="s">
        <v>110</v>
      </c>
      <c r="J325" s="15"/>
      <c r="K325" s="15"/>
      <c r="L325" s="78"/>
      <c r="M325" s="78"/>
      <c r="N325" s="78"/>
      <c r="O325" s="78"/>
      <c r="P325" s="78"/>
      <c r="Q325" s="78"/>
      <c r="R325" s="78"/>
      <c r="S325" s="78"/>
      <c r="T325" s="78"/>
      <c r="U325" s="78"/>
      <c r="V325" s="78"/>
      <c r="W325" s="78"/>
      <c r="X325" s="78"/>
      <c r="Y325" s="78"/>
      <c r="Z325" s="78"/>
    </row>
    <row r="326" ht="15.75" customHeight="1">
      <c r="A326" s="19"/>
      <c r="B326" s="57" t="s">
        <v>164</v>
      </c>
      <c r="C326" s="134"/>
      <c r="D326" s="134">
        <v>31.7</v>
      </c>
      <c r="E326" s="52"/>
      <c r="F326" s="103"/>
      <c r="G326" s="104">
        <v>0.245</v>
      </c>
      <c r="H326" s="105"/>
      <c r="I326" s="106">
        <f t="shared" ref="I326:I329" si="27">D326*G326</f>
        <v>7.7665</v>
      </c>
      <c r="J326" s="15"/>
      <c r="K326" s="15"/>
      <c r="L326" s="78"/>
      <c r="M326" s="78"/>
      <c r="N326" s="78"/>
      <c r="O326" s="78"/>
      <c r="P326" s="78"/>
      <c r="Q326" s="78"/>
      <c r="R326" s="78"/>
      <c r="S326" s="78"/>
      <c r="T326" s="78"/>
      <c r="U326" s="78"/>
      <c r="V326" s="78"/>
      <c r="W326" s="78"/>
      <c r="X326" s="78"/>
      <c r="Y326" s="78"/>
      <c r="Z326" s="78"/>
    </row>
    <row r="327" ht="15.75" customHeight="1">
      <c r="A327" s="19"/>
      <c r="B327" s="57" t="s">
        <v>165</v>
      </c>
      <c r="C327" s="134"/>
      <c r="D327" s="134">
        <v>14.6</v>
      </c>
      <c r="E327" s="52"/>
      <c r="F327" s="103"/>
      <c r="G327" s="104">
        <v>0.245</v>
      </c>
      <c r="H327" s="105"/>
      <c r="I327" s="106">
        <f t="shared" si="27"/>
        <v>3.577</v>
      </c>
      <c r="J327" s="15"/>
      <c r="K327" s="15"/>
      <c r="L327" s="78"/>
      <c r="M327" s="78"/>
      <c r="N327" s="78"/>
      <c r="O327" s="78"/>
      <c r="P327" s="78"/>
      <c r="Q327" s="78"/>
      <c r="R327" s="78"/>
      <c r="S327" s="78"/>
      <c r="T327" s="78"/>
      <c r="U327" s="78"/>
      <c r="V327" s="78"/>
      <c r="W327" s="78"/>
      <c r="X327" s="78"/>
      <c r="Y327" s="78"/>
      <c r="Z327" s="78"/>
    </row>
    <row r="328" ht="15.75" customHeight="1">
      <c r="A328" s="19"/>
      <c r="B328" s="57" t="s">
        <v>166</v>
      </c>
      <c r="C328" s="134"/>
      <c r="D328" s="134">
        <v>11.5</v>
      </c>
      <c r="E328" s="52"/>
      <c r="F328" s="103"/>
      <c r="G328" s="104">
        <v>0.245</v>
      </c>
      <c r="H328" s="105"/>
      <c r="I328" s="106">
        <f t="shared" si="27"/>
        <v>2.8175</v>
      </c>
      <c r="J328" s="15"/>
      <c r="K328" s="15"/>
      <c r="L328" s="78"/>
      <c r="M328" s="78"/>
      <c r="N328" s="78"/>
      <c r="O328" s="78"/>
      <c r="P328" s="78"/>
      <c r="Q328" s="78"/>
      <c r="R328" s="78"/>
      <c r="S328" s="78"/>
      <c r="T328" s="78"/>
      <c r="U328" s="78"/>
      <c r="V328" s="78"/>
      <c r="W328" s="78"/>
      <c r="X328" s="78"/>
      <c r="Y328" s="78"/>
      <c r="Z328" s="78"/>
    </row>
    <row r="329" ht="15.75" customHeight="1">
      <c r="A329" s="19"/>
      <c r="B329" s="125" t="s">
        <v>167</v>
      </c>
      <c r="C329" s="97"/>
      <c r="D329" s="134">
        <v>250.8</v>
      </c>
      <c r="E329" s="97"/>
      <c r="F329" s="97"/>
      <c r="G329" s="104">
        <v>0.245</v>
      </c>
      <c r="H329" s="98"/>
      <c r="I329" s="106">
        <f t="shared" si="27"/>
        <v>61.446</v>
      </c>
      <c r="J329" s="4"/>
      <c r="K329" s="4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</row>
    <row r="330" ht="15.75" customHeight="1">
      <c r="A330" s="19"/>
      <c r="B330" s="38" t="s">
        <v>111</v>
      </c>
      <c r="C330" s="39"/>
      <c r="D330" s="39"/>
      <c r="E330" s="39"/>
      <c r="F330" s="39"/>
      <c r="G330" s="39"/>
      <c r="H330" s="40"/>
      <c r="I330" s="41">
        <f>ROUNDUP(SUM(I326:I329),2)</f>
        <v>75.61</v>
      </c>
      <c r="J330" s="4"/>
      <c r="K330" s="4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</row>
    <row r="331" ht="15.75" customHeight="1">
      <c r="A331" s="19"/>
      <c r="B331" s="56"/>
      <c r="C331" s="90"/>
      <c r="D331" s="90"/>
      <c r="E331" s="90"/>
      <c r="F331" s="90"/>
      <c r="G331" s="91"/>
      <c r="H331" s="90"/>
      <c r="I331" s="90"/>
      <c r="J331" s="4"/>
      <c r="K331" s="4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</row>
    <row r="332" ht="15.0" customHeight="1">
      <c r="A332" s="17" t="s">
        <v>176</v>
      </c>
      <c r="B332" s="88" t="s">
        <v>177</v>
      </c>
      <c r="C332" s="89"/>
      <c r="D332" s="90"/>
      <c r="E332" s="89"/>
      <c r="F332" s="56"/>
      <c r="G332" s="91"/>
      <c r="H332" s="56"/>
      <c r="I332" s="90"/>
      <c r="J332" s="4"/>
      <c r="K332" s="4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</row>
    <row r="333" ht="15.75" customHeight="1">
      <c r="A333" s="12"/>
      <c r="B333" s="20"/>
      <c r="C333" s="15"/>
      <c r="D333" s="15"/>
      <c r="E333" s="15"/>
      <c r="F333" s="15"/>
      <c r="G333" s="16"/>
      <c r="H333" s="15"/>
      <c r="I333" s="15"/>
      <c r="J333" s="4"/>
      <c r="K333" s="4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</row>
    <row r="334" ht="15.75" customHeight="1">
      <c r="A334" s="19"/>
      <c r="B334" s="24" t="s">
        <v>6</v>
      </c>
      <c r="C334" s="25" t="s">
        <v>7</v>
      </c>
      <c r="D334" s="43" t="s">
        <v>8</v>
      </c>
      <c r="E334" s="43" t="s">
        <v>108</v>
      </c>
      <c r="F334" s="43" t="s">
        <v>9</v>
      </c>
      <c r="G334" s="94" t="s">
        <v>109</v>
      </c>
      <c r="H334" s="27"/>
      <c r="I334" s="85" t="s">
        <v>110</v>
      </c>
      <c r="J334" s="15"/>
      <c r="K334" s="15"/>
      <c r="L334" s="78"/>
      <c r="M334" s="78"/>
      <c r="N334" s="78"/>
      <c r="O334" s="78"/>
      <c r="P334" s="78"/>
      <c r="Q334" s="78"/>
      <c r="R334" s="78"/>
      <c r="S334" s="78"/>
      <c r="T334" s="78"/>
      <c r="U334" s="78"/>
      <c r="V334" s="78"/>
      <c r="W334" s="78"/>
      <c r="X334" s="78"/>
      <c r="Y334" s="78"/>
      <c r="Z334" s="78"/>
    </row>
    <row r="335" ht="15.75" customHeight="1">
      <c r="A335" s="19"/>
      <c r="B335" s="57" t="s">
        <v>164</v>
      </c>
      <c r="C335" s="93"/>
      <c r="D335" s="60">
        <v>31.6</v>
      </c>
      <c r="E335" s="52"/>
      <c r="F335" s="34"/>
      <c r="G335" s="95">
        <v>0.395</v>
      </c>
      <c r="H335" s="36"/>
      <c r="I335" s="92">
        <f t="shared" ref="I335:I336" si="28">D335*G335</f>
        <v>12.482</v>
      </c>
      <c r="J335" s="15"/>
      <c r="K335" s="15"/>
      <c r="L335" s="78"/>
      <c r="M335" s="78"/>
      <c r="N335" s="78"/>
      <c r="O335" s="78"/>
      <c r="P335" s="78"/>
      <c r="Q335" s="78"/>
      <c r="R335" s="78"/>
      <c r="S335" s="78"/>
      <c r="T335" s="78"/>
      <c r="U335" s="78"/>
      <c r="V335" s="78"/>
      <c r="W335" s="78"/>
      <c r="X335" s="78"/>
      <c r="Y335" s="78"/>
      <c r="Z335" s="78"/>
    </row>
    <row r="336" ht="15.75" customHeight="1">
      <c r="A336" s="19"/>
      <c r="B336" s="125" t="s">
        <v>167</v>
      </c>
      <c r="C336" s="99"/>
      <c r="D336" s="62">
        <v>46.7</v>
      </c>
      <c r="E336" s="63"/>
      <c r="F336" s="100"/>
      <c r="G336" s="95">
        <v>0.395</v>
      </c>
      <c r="H336" s="101"/>
      <c r="I336" s="92">
        <f t="shared" si="28"/>
        <v>18.4465</v>
      </c>
      <c r="J336" s="15"/>
      <c r="K336" s="15"/>
      <c r="L336" s="78"/>
      <c r="M336" s="78"/>
      <c r="N336" s="78"/>
      <c r="O336" s="78"/>
      <c r="P336" s="78"/>
      <c r="Q336" s="78"/>
      <c r="R336" s="78"/>
      <c r="S336" s="78"/>
      <c r="T336" s="78"/>
      <c r="U336" s="78"/>
      <c r="V336" s="78"/>
      <c r="W336" s="78"/>
      <c r="X336" s="78"/>
      <c r="Y336" s="78"/>
      <c r="Z336" s="78"/>
    </row>
    <row r="337" ht="15.75" customHeight="1">
      <c r="A337" s="19"/>
      <c r="B337" s="38" t="s">
        <v>111</v>
      </c>
      <c r="C337" s="39"/>
      <c r="D337" s="39"/>
      <c r="E337" s="39"/>
      <c r="F337" s="39"/>
      <c r="G337" s="39"/>
      <c r="H337" s="40"/>
      <c r="I337" s="41">
        <f>ROUNDUP(SUM(I335:I336),2)</f>
        <v>30.93</v>
      </c>
      <c r="J337" s="4"/>
      <c r="K337" s="4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</row>
    <row r="338" ht="15.75" customHeight="1">
      <c r="A338" s="19"/>
      <c r="B338" s="56"/>
      <c r="C338" s="90"/>
      <c r="D338" s="90"/>
      <c r="E338" s="90"/>
      <c r="F338" s="90"/>
      <c r="G338" s="91"/>
      <c r="H338" s="90"/>
      <c r="I338" s="90"/>
      <c r="J338" s="4"/>
      <c r="K338" s="4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</row>
    <row r="339" ht="15.0" customHeight="1">
      <c r="A339" s="17" t="s">
        <v>178</v>
      </c>
      <c r="B339" s="88" t="s">
        <v>179</v>
      </c>
      <c r="C339" s="89"/>
      <c r="D339" s="90"/>
      <c r="E339" s="89"/>
      <c r="F339" s="56"/>
      <c r="G339" s="91"/>
      <c r="H339" s="56"/>
      <c r="I339" s="90"/>
      <c r="J339" s="4"/>
      <c r="K339" s="4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</row>
    <row r="340" ht="15.75" customHeight="1">
      <c r="A340" s="12"/>
      <c r="B340" s="20"/>
      <c r="C340" s="15"/>
      <c r="D340" s="15"/>
      <c r="E340" s="15"/>
      <c r="F340" s="15"/>
      <c r="G340" s="16"/>
      <c r="H340" s="15"/>
      <c r="I340" s="15"/>
      <c r="J340" s="4"/>
      <c r="K340" s="4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</row>
    <row r="341" ht="15.75" customHeight="1">
      <c r="A341" s="19"/>
      <c r="B341" s="24" t="s">
        <v>6</v>
      </c>
      <c r="C341" s="25" t="s">
        <v>7</v>
      </c>
      <c r="D341" s="43" t="s">
        <v>8</v>
      </c>
      <c r="E341" s="43" t="s">
        <v>108</v>
      </c>
      <c r="F341" s="43" t="s">
        <v>9</v>
      </c>
      <c r="G341" s="94" t="s">
        <v>109</v>
      </c>
      <c r="H341" s="27"/>
      <c r="I341" s="85" t="s">
        <v>110</v>
      </c>
      <c r="J341" s="15"/>
      <c r="K341" s="15"/>
      <c r="L341" s="78"/>
      <c r="M341" s="78"/>
      <c r="N341" s="78"/>
      <c r="O341" s="78"/>
      <c r="P341" s="78"/>
      <c r="Q341" s="78"/>
      <c r="R341" s="78"/>
      <c r="S341" s="78"/>
      <c r="T341" s="78"/>
      <c r="U341" s="78"/>
      <c r="V341" s="78"/>
      <c r="W341" s="78"/>
      <c r="X341" s="78"/>
      <c r="Y341" s="78"/>
      <c r="Z341" s="78"/>
    </row>
    <row r="342" ht="15.75" customHeight="1">
      <c r="A342" s="19"/>
      <c r="B342" s="57" t="s">
        <v>164</v>
      </c>
      <c r="C342" s="93"/>
      <c r="D342" s="60">
        <v>169.4</v>
      </c>
      <c r="E342" s="93"/>
      <c r="F342" s="93"/>
      <c r="G342" s="95">
        <v>0.617</v>
      </c>
      <c r="H342" s="93"/>
      <c r="I342" s="92">
        <f t="shared" ref="I342:I344" si="29">D342*G342</f>
        <v>104.5198</v>
      </c>
      <c r="J342" s="15"/>
      <c r="K342" s="15"/>
      <c r="L342" s="78"/>
      <c r="M342" s="78"/>
      <c r="N342" s="78"/>
      <c r="O342" s="78"/>
      <c r="P342" s="78"/>
      <c r="Q342" s="78"/>
      <c r="R342" s="78"/>
      <c r="S342" s="78"/>
      <c r="T342" s="78"/>
      <c r="U342" s="78"/>
      <c r="V342" s="78"/>
      <c r="W342" s="78"/>
      <c r="X342" s="78"/>
      <c r="Y342" s="78"/>
      <c r="Z342" s="78"/>
    </row>
    <row r="343" ht="15.75" customHeight="1">
      <c r="A343" s="19"/>
      <c r="B343" s="57" t="s">
        <v>165</v>
      </c>
      <c r="C343" s="96"/>
      <c r="D343" s="60">
        <v>58.3</v>
      </c>
      <c r="E343" s="96"/>
      <c r="F343" s="96"/>
      <c r="G343" s="95">
        <v>0.617</v>
      </c>
      <c r="H343" s="96"/>
      <c r="I343" s="92">
        <f t="shared" si="29"/>
        <v>35.9711</v>
      </c>
      <c r="J343" s="4"/>
      <c r="K343" s="4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</row>
    <row r="344" ht="15.75" customHeight="1">
      <c r="A344" s="19"/>
      <c r="B344" s="57" t="s">
        <v>166</v>
      </c>
      <c r="C344" s="96"/>
      <c r="D344" s="62">
        <v>115.7</v>
      </c>
      <c r="E344" s="96"/>
      <c r="F344" s="96"/>
      <c r="G344" s="95">
        <v>0.617</v>
      </c>
      <c r="H344" s="96"/>
      <c r="I344" s="92">
        <f t="shared" si="29"/>
        <v>71.3869</v>
      </c>
      <c r="J344" s="4"/>
      <c r="K344" s="4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</row>
    <row r="345" ht="15.75" customHeight="1">
      <c r="A345" s="19"/>
      <c r="B345" s="38" t="s">
        <v>111</v>
      </c>
      <c r="C345" s="39"/>
      <c r="D345" s="39"/>
      <c r="E345" s="39"/>
      <c r="F345" s="39"/>
      <c r="G345" s="39"/>
      <c r="H345" s="40"/>
      <c r="I345" s="41">
        <f>ROUNDUP(SUM(I342:I344),2)</f>
        <v>211.88</v>
      </c>
      <c r="J345" s="4"/>
      <c r="K345" s="4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</row>
    <row r="346" ht="15.75" customHeight="1">
      <c r="A346" s="19"/>
      <c r="B346" s="56"/>
      <c r="C346" s="90"/>
      <c r="D346" s="90"/>
      <c r="E346" s="90"/>
      <c r="F346" s="90"/>
      <c r="G346" s="91"/>
      <c r="H346" s="90"/>
      <c r="I346" s="90"/>
      <c r="J346" s="4"/>
      <c r="K346" s="4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</row>
    <row r="347" ht="15.0" customHeight="1">
      <c r="A347" s="17" t="s">
        <v>180</v>
      </c>
      <c r="B347" s="88" t="s">
        <v>157</v>
      </c>
      <c r="C347" s="89"/>
      <c r="D347" s="90"/>
      <c r="E347" s="89"/>
      <c r="F347" s="56"/>
      <c r="G347" s="91"/>
      <c r="H347" s="56"/>
      <c r="I347" s="90"/>
      <c r="J347" s="4"/>
      <c r="K347" s="4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</row>
    <row r="348" ht="15.75" customHeight="1">
      <c r="A348" s="12"/>
      <c r="B348" s="20"/>
      <c r="C348" s="15"/>
      <c r="D348" s="15"/>
      <c r="E348" s="15"/>
      <c r="F348" s="15"/>
      <c r="G348" s="16"/>
      <c r="H348" s="15"/>
      <c r="I348" s="15"/>
      <c r="J348" s="4"/>
      <c r="K348" s="4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</row>
    <row r="349" ht="15.75" customHeight="1">
      <c r="A349" s="19"/>
      <c r="B349" s="24" t="s">
        <v>6</v>
      </c>
      <c r="C349" s="25" t="s">
        <v>7</v>
      </c>
      <c r="D349" s="43" t="s">
        <v>8</v>
      </c>
      <c r="E349" s="43" t="s">
        <v>108</v>
      </c>
      <c r="F349" s="43" t="s">
        <v>9</v>
      </c>
      <c r="G349" s="94" t="s">
        <v>109</v>
      </c>
      <c r="H349" s="27"/>
      <c r="I349" s="85" t="s">
        <v>110</v>
      </c>
      <c r="J349" s="15"/>
      <c r="K349" s="15"/>
      <c r="L349" s="78"/>
      <c r="M349" s="78"/>
      <c r="N349" s="78"/>
      <c r="O349" s="78"/>
      <c r="P349" s="78"/>
      <c r="Q349" s="78"/>
      <c r="R349" s="78"/>
      <c r="S349" s="78"/>
      <c r="T349" s="78"/>
      <c r="U349" s="78"/>
      <c r="V349" s="78"/>
      <c r="W349" s="78"/>
      <c r="X349" s="78"/>
      <c r="Y349" s="78"/>
      <c r="Z349" s="78"/>
    </row>
    <row r="350" ht="15.75" customHeight="1">
      <c r="A350" s="19"/>
      <c r="B350" s="57" t="s">
        <v>164</v>
      </c>
      <c r="C350" s="93"/>
      <c r="D350" s="60">
        <v>98.0</v>
      </c>
      <c r="E350" s="52"/>
      <c r="F350" s="34"/>
      <c r="G350" s="95">
        <v>0.963</v>
      </c>
      <c r="H350" s="36"/>
      <c r="I350" s="92">
        <f t="shared" ref="I350:I353" si="30">D350*G350</f>
        <v>94.374</v>
      </c>
      <c r="J350" s="15"/>
      <c r="K350" s="15"/>
      <c r="L350" s="78"/>
      <c r="M350" s="78"/>
      <c r="N350" s="78"/>
      <c r="O350" s="78"/>
      <c r="P350" s="78"/>
      <c r="Q350" s="78"/>
      <c r="R350" s="78"/>
      <c r="S350" s="78"/>
      <c r="T350" s="78"/>
      <c r="U350" s="78"/>
      <c r="V350" s="78"/>
      <c r="W350" s="78"/>
      <c r="X350" s="78"/>
      <c r="Y350" s="78"/>
      <c r="Z350" s="78"/>
    </row>
    <row r="351" ht="15.75" customHeight="1">
      <c r="A351" s="19"/>
      <c r="B351" s="57" t="s">
        <v>165</v>
      </c>
      <c r="C351" s="93"/>
      <c r="D351" s="60">
        <v>140.0</v>
      </c>
      <c r="E351" s="52"/>
      <c r="F351" s="34"/>
      <c r="G351" s="95">
        <v>0.963</v>
      </c>
      <c r="H351" s="36"/>
      <c r="I351" s="92">
        <f t="shared" si="30"/>
        <v>134.82</v>
      </c>
      <c r="J351" s="4"/>
      <c r="K351" s="4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</row>
    <row r="352" ht="15.75" customHeight="1">
      <c r="A352" s="19"/>
      <c r="B352" s="57" t="s">
        <v>166</v>
      </c>
      <c r="C352" s="93"/>
      <c r="D352" s="60">
        <v>130.3</v>
      </c>
      <c r="E352" s="52"/>
      <c r="F352" s="34"/>
      <c r="G352" s="95">
        <v>0.963</v>
      </c>
      <c r="H352" s="36"/>
      <c r="I352" s="92">
        <f t="shared" si="30"/>
        <v>125.4789</v>
      </c>
      <c r="J352" s="15"/>
      <c r="K352" s="15"/>
      <c r="L352" s="78"/>
      <c r="M352" s="78"/>
      <c r="N352" s="78"/>
      <c r="O352" s="78"/>
      <c r="P352" s="78"/>
      <c r="Q352" s="78"/>
      <c r="R352" s="78"/>
      <c r="S352" s="78"/>
      <c r="T352" s="78"/>
      <c r="U352" s="78"/>
      <c r="V352" s="78"/>
      <c r="W352" s="78"/>
      <c r="X352" s="78"/>
      <c r="Y352" s="78"/>
      <c r="Z352" s="78"/>
    </row>
    <row r="353" ht="15.75" customHeight="1">
      <c r="A353" s="19"/>
      <c r="B353" s="125" t="s">
        <v>167</v>
      </c>
      <c r="C353" s="99"/>
      <c r="D353" s="62">
        <v>112.7</v>
      </c>
      <c r="E353" s="63"/>
      <c r="F353" s="100"/>
      <c r="G353" s="95">
        <v>0.963</v>
      </c>
      <c r="H353" s="101"/>
      <c r="I353" s="92">
        <f t="shared" si="30"/>
        <v>108.5301</v>
      </c>
      <c r="J353" s="15"/>
      <c r="K353" s="15"/>
      <c r="L353" s="78"/>
      <c r="M353" s="78"/>
      <c r="N353" s="78"/>
      <c r="O353" s="78"/>
      <c r="P353" s="78"/>
      <c r="Q353" s="78"/>
      <c r="R353" s="78"/>
      <c r="S353" s="78"/>
      <c r="T353" s="78"/>
      <c r="U353" s="78"/>
      <c r="V353" s="78"/>
      <c r="W353" s="78"/>
      <c r="X353" s="78"/>
      <c r="Y353" s="78"/>
      <c r="Z353" s="78"/>
    </row>
    <row r="354" ht="15.75" customHeight="1">
      <c r="A354" s="19"/>
      <c r="B354" s="38" t="s">
        <v>111</v>
      </c>
      <c r="C354" s="39"/>
      <c r="D354" s="39"/>
      <c r="E354" s="39"/>
      <c r="F354" s="39"/>
      <c r="G354" s="39"/>
      <c r="H354" s="40"/>
      <c r="I354" s="41">
        <f>ROUNDUP(SUM(I350:I353),2)</f>
        <v>463.21</v>
      </c>
      <c r="J354" s="4"/>
      <c r="K354" s="4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</row>
    <row r="355" ht="15.75" customHeight="1">
      <c r="A355" s="19"/>
      <c r="B355" s="56"/>
      <c r="C355" s="90"/>
      <c r="D355" s="90"/>
      <c r="E355" s="90"/>
      <c r="F355" s="90"/>
      <c r="G355" s="91"/>
      <c r="H355" s="90"/>
      <c r="I355" s="90"/>
      <c r="J355" s="4"/>
      <c r="K355" s="4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</row>
    <row r="356" ht="15.0" customHeight="1">
      <c r="A356" s="17" t="s">
        <v>181</v>
      </c>
      <c r="B356" s="88" t="s">
        <v>159</v>
      </c>
      <c r="C356" s="89"/>
      <c r="D356" s="90"/>
      <c r="E356" s="89"/>
      <c r="F356" s="56"/>
      <c r="G356" s="91"/>
      <c r="H356" s="56"/>
      <c r="I356" s="90"/>
      <c r="J356" s="4"/>
      <c r="K356" s="4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</row>
    <row r="357" ht="15.75" customHeight="1">
      <c r="A357" s="12"/>
      <c r="B357" s="20"/>
      <c r="C357" s="15"/>
      <c r="D357" s="15"/>
      <c r="E357" s="15"/>
      <c r="F357" s="15"/>
      <c r="G357" s="16"/>
      <c r="H357" s="15"/>
      <c r="I357" s="15"/>
      <c r="J357" s="4"/>
      <c r="K357" s="4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</row>
    <row r="358" ht="15.75" customHeight="1">
      <c r="A358" s="19"/>
      <c r="B358" s="24" t="s">
        <v>6</v>
      </c>
      <c r="C358" s="25" t="s">
        <v>7</v>
      </c>
      <c r="D358" s="43" t="s">
        <v>8</v>
      </c>
      <c r="E358" s="43" t="s">
        <v>108</v>
      </c>
      <c r="F358" s="43" t="s">
        <v>9</v>
      </c>
      <c r="G358" s="94" t="s">
        <v>109</v>
      </c>
      <c r="H358" s="27"/>
      <c r="I358" s="85" t="s">
        <v>110</v>
      </c>
      <c r="J358" s="15"/>
      <c r="K358" s="15"/>
      <c r="L358" s="78"/>
      <c r="M358" s="78"/>
      <c r="N358" s="78"/>
      <c r="O358" s="78"/>
      <c r="P358" s="78"/>
      <c r="Q358" s="78"/>
      <c r="R358" s="78"/>
      <c r="S358" s="78"/>
      <c r="T358" s="78"/>
      <c r="U358" s="78"/>
      <c r="V358" s="78"/>
      <c r="W358" s="78"/>
      <c r="X358" s="78"/>
      <c r="Y358" s="78"/>
      <c r="Z358" s="78"/>
    </row>
    <row r="359" ht="15.75" customHeight="1">
      <c r="A359" s="19"/>
      <c r="B359" s="57" t="s">
        <v>165</v>
      </c>
      <c r="C359" s="96"/>
      <c r="D359" s="60">
        <v>92.2</v>
      </c>
      <c r="E359" s="97"/>
      <c r="F359" s="97"/>
      <c r="G359" s="95">
        <v>1.578</v>
      </c>
      <c r="H359" s="98"/>
      <c r="I359" s="92">
        <f>D359*G359</f>
        <v>145.4916</v>
      </c>
      <c r="J359" s="4"/>
      <c r="K359" s="4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</row>
    <row r="360" ht="15.75" customHeight="1">
      <c r="A360" s="19"/>
      <c r="B360" s="38" t="s">
        <v>111</v>
      </c>
      <c r="C360" s="39"/>
      <c r="D360" s="39"/>
      <c r="E360" s="39"/>
      <c r="F360" s="39"/>
      <c r="G360" s="39"/>
      <c r="H360" s="40"/>
      <c r="I360" s="41">
        <f>ROUNDUP(SUM(I359),2)</f>
        <v>145.5</v>
      </c>
      <c r="J360" s="4"/>
      <c r="K360" s="4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</row>
    <row r="361" ht="15.75" customHeight="1">
      <c r="A361" s="19"/>
      <c r="B361" s="56"/>
      <c r="C361" s="90"/>
      <c r="D361" s="90"/>
      <c r="E361" s="90"/>
      <c r="F361" s="90"/>
      <c r="G361" s="91"/>
      <c r="H361" s="90"/>
      <c r="I361" s="90"/>
      <c r="J361" s="4"/>
      <c r="K361" s="4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</row>
    <row r="362" ht="15.75" customHeight="1">
      <c r="A362" s="17" t="s">
        <v>182</v>
      </c>
      <c r="B362" s="18" t="s">
        <v>183</v>
      </c>
      <c r="C362" s="15"/>
      <c r="D362" s="15"/>
      <c r="E362" s="15"/>
      <c r="F362" s="15"/>
      <c r="G362" s="16"/>
      <c r="H362" s="15"/>
      <c r="I362" s="15"/>
      <c r="J362" s="4"/>
      <c r="K362" s="4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</row>
    <row r="363" ht="15.75" customHeight="1">
      <c r="A363" s="12"/>
      <c r="B363" s="56"/>
      <c r="C363" s="15"/>
      <c r="D363" s="15"/>
      <c r="E363" s="15"/>
      <c r="F363" s="15"/>
      <c r="G363" s="16"/>
      <c r="H363" s="15"/>
      <c r="I363" s="15"/>
      <c r="J363" s="4"/>
      <c r="K363" s="4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</row>
    <row r="364" ht="15.0" customHeight="1">
      <c r="A364" s="17" t="s">
        <v>184</v>
      </c>
      <c r="B364" s="135" t="s">
        <v>185</v>
      </c>
      <c r="C364" s="89"/>
      <c r="D364" s="90"/>
      <c r="E364" s="89"/>
      <c r="F364" s="56"/>
      <c r="G364" s="91"/>
      <c r="H364" s="56"/>
      <c r="I364" s="90"/>
      <c r="J364" s="4"/>
      <c r="K364" s="4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</row>
    <row r="365" ht="15.75" customHeight="1">
      <c r="A365" s="12"/>
      <c r="B365" s="20"/>
      <c r="C365" s="15"/>
      <c r="D365" s="15"/>
      <c r="E365" s="15"/>
      <c r="F365" s="15"/>
      <c r="G365" s="16"/>
      <c r="H365" s="15"/>
      <c r="I365" s="15"/>
      <c r="J365" s="4"/>
      <c r="K365" s="4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</row>
    <row r="366" ht="15.75" customHeight="1">
      <c r="A366" s="19"/>
      <c r="B366" s="24" t="s">
        <v>6</v>
      </c>
      <c r="C366" s="25" t="s">
        <v>7</v>
      </c>
      <c r="D366" s="43" t="s">
        <v>8</v>
      </c>
      <c r="E366" s="43" t="s">
        <v>108</v>
      </c>
      <c r="F366" s="43" t="s">
        <v>9</v>
      </c>
      <c r="G366" s="26"/>
      <c r="H366" s="27"/>
      <c r="I366" s="85" t="s">
        <v>14</v>
      </c>
      <c r="J366" s="15"/>
      <c r="K366" s="15"/>
      <c r="L366" s="78"/>
      <c r="M366" s="78"/>
      <c r="N366" s="78"/>
      <c r="O366" s="78"/>
      <c r="P366" s="78"/>
      <c r="Q366" s="78"/>
      <c r="R366" s="78"/>
      <c r="S366" s="78"/>
      <c r="T366" s="78"/>
      <c r="U366" s="78"/>
      <c r="V366" s="78"/>
      <c r="W366" s="78"/>
      <c r="X366" s="78"/>
      <c r="Y366" s="78"/>
      <c r="Z366" s="78"/>
    </row>
    <row r="367" ht="15.75" customHeight="1">
      <c r="A367" s="19"/>
      <c r="B367" s="57" t="s">
        <v>186</v>
      </c>
      <c r="C367" s="93"/>
      <c r="D367" s="52"/>
      <c r="E367" s="52"/>
      <c r="F367" s="34"/>
      <c r="G367" s="35"/>
      <c r="H367" s="36"/>
      <c r="I367" s="118">
        <v>49.72</v>
      </c>
      <c r="J367" s="15"/>
      <c r="K367" s="15"/>
      <c r="L367" s="78"/>
      <c r="M367" s="78"/>
      <c r="N367" s="78"/>
      <c r="O367" s="78"/>
      <c r="P367" s="78"/>
      <c r="Q367" s="78"/>
      <c r="R367" s="78"/>
      <c r="S367" s="78"/>
      <c r="T367" s="78"/>
      <c r="U367" s="78"/>
      <c r="V367" s="78"/>
      <c r="W367" s="78"/>
      <c r="X367" s="78"/>
      <c r="Y367" s="78"/>
      <c r="Z367" s="78"/>
    </row>
    <row r="368" ht="15.75" customHeight="1">
      <c r="A368" s="19"/>
      <c r="B368" s="57" t="s">
        <v>187</v>
      </c>
      <c r="C368" s="99"/>
      <c r="D368" s="63"/>
      <c r="E368" s="63"/>
      <c r="F368" s="100"/>
      <c r="G368" s="136"/>
      <c r="H368" s="101"/>
      <c r="I368" s="137">
        <v>53.31</v>
      </c>
      <c r="J368" s="15"/>
      <c r="K368" s="15"/>
      <c r="L368" s="78"/>
      <c r="M368" s="78"/>
      <c r="N368" s="78"/>
      <c r="O368" s="78"/>
      <c r="P368" s="78"/>
      <c r="Q368" s="78"/>
      <c r="R368" s="78"/>
      <c r="S368" s="78"/>
      <c r="T368" s="78"/>
      <c r="U368" s="78"/>
      <c r="V368" s="78"/>
      <c r="W368" s="78"/>
      <c r="X368" s="78"/>
      <c r="Y368" s="78"/>
      <c r="Z368" s="78"/>
    </row>
    <row r="369" ht="15.75" customHeight="1">
      <c r="A369" s="19"/>
      <c r="B369" s="38" t="s">
        <v>99</v>
      </c>
      <c r="C369" s="39"/>
      <c r="D369" s="39"/>
      <c r="E369" s="39"/>
      <c r="F369" s="39"/>
      <c r="G369" s="39"/>
      <c r="H369" s="40"/>
      <c r="I369" s="41">
        <f>SUM(I367:I368)</f>
        <v>103.03</v>
      </c>
      <c r="J369" s="4"/>
      <c r="K369" s="4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</row>
    <row r="370" ht="15.75" customHeight="1">
      <c r="A370" s="19"/>
      <c r="B370" s="56"/>
      <c r="C370" s="90"/>
      <c r="D370" s="90"/>
      <c r="E370" s="90"/>
      <c r="F370" s="90"/>
      <c r="G370" s="91"/>
      <c r="H370" s="90"/>
      <c r="I370" s="90"/>
      <c r="J370" s="4"/>
      <c r="K370" s="4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</row>
    <row r="371" ht="15.0" customHeight="1">
      <c r="A371" s="17" t="s">
        <v>188</v>
      </c>
      <c r="B371" s="88" t="s">
        <v>189</v>
      </c>
      <c r="C371" s="89"/>
      <c r="D371" s="90"/>
      <c r="E371" s="89"/>
      <c r="F371" s="56"/>
      <c r="G371" s="91"/>
      <c r="H371" s="56"/>
      <c r="I371" s="90"/>
      <c r="J371" s="4"/>
      <c r="K371" s="4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</row>
    <row r="372" ht="15.75" customHeight="1">
      <c r="A372" s="12"/>
      <c r="B372" s="20"/>
      <c r="C372" s="15"/>
      <c r="D372" s="15"/>
      <c r="E372" s="15"/>
      <c r="F372" s="15"/>
      <c r="G372" s="16"/>
      <c r="H372" s="15"/>
      <c r="I372" s="15"/>
      <c r="J372" s="4"/>
      <c r="K372" s="4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</row>
    <row r="373" ht="15.75" customHeight="1">
      <c r="A373" s="19"/>
      <c r="B373" s="24" t="s">
        <v>6</v>
      </c>
      <c r="C373" s="25" t="s">
        <v>7</v>
      </c>
      <c r="D373" s="43" t="s">
        <v>8</v>
      </c>
      <c r="E373" s="43" t="s">
        <v>108</v>
      </c>
      <c r="F373" s="43" t="s">
        <v>9</v>
      </c>
      <c r="G373" s="26"/>
      <c r="H373" s="27"/>
      <c r="I373" s="85" t="s">
        <v>14</v>
      </c>
      <c r="J373" s="15"/>
      <c r="K373" s="15"/>
      <c r="L373" s="78"/>
      <c r="M373" s="78"/>
      <c r="N373" s="78"/>
      <c r="O373" s="78"/>
      <c r="P373" s="78"/>
      <c r="Q373" s="78"/>
      <c r="R373" s="78"/>
      <c r="S373" s="78"/>
      <c r="T373" s="78"/>
      <c r="U373" s="78"/>
      <c r="V373" s="78"/>
      <c r="W373" s="78"/>
      <c r="X373" s="78"/>
      <c r="Y373" s="78"/>
      <c r="Z373" s="78"/>
    </row>
    <row r="374" ht="15.75" customHeight="1">
      <c r="A374" s="19"/>
      <c r="B374" s="57" t="s">
        <v>186</v>
      </c>
      <c r="C374" s="102"/>
      <c r="D374" s="52"/>
      <c r="E374" s="52"/>
      <c r="F374" s="103"/>
      <c r="G374" s="138"/>
      <c r="H374" s="105"/>
      <c r="I374" s="118">
        <v>49.72</v>
      </c>
      <c r="J374" s="15"/>
      <c r="K374" s="15"/>
      <c r="L374" s="78"/>
      <c r="M374" s="78"/>
      <c r="N374" s="78"/>
      <c r="O374" s="78"/>
      <c r="P374" s="78"/>
      <c r="Q374" s="78"/>
      <c r="R374" s="78"/>
      <c r="S374" s="78"/>
      <c r="T374" s="78"/>
      <c r="U374" s="78"/>
      <c r="V374" s="78"/>
      <c r="W374" s="78"/>
      <c r="X374" s="78"/>
      <c r="Y374" s="78"/>
      <c r="Z374" s="78"/>
    </row>
    <row r="375" ht="15.75" customHeight="1">
      <c r="A375" s="19"/>
      <c r="B375" s="57" t="s">
        <v>187</v>
      </c>
      <c r="C375" s="93"/>
      <c r="D375" s="52"/>
      <c r="E375" s="52"/>
      <c r="F375" s="34"/>
      <c r="G375" s="35"/>
      <c r="H375" s="36"/>
      <c r="I375" s="137">
        <v>53.31</v>
      </c>
      <c r="J375" s="15"/>
      <c r="K375" s="15"/>
      <c r="L375" s="78"/>
      <c r="M375" s="78"/>
      <c r="N375" s="78"/>
      <c r="O375" s="78"/>
      <c r="P375" s="78"/>
      <c r="Q375" s="78"/>
      <c r="R375" s="78"/>
      <c r="S375" s="78"/>
      <c r="T375" s="78"/>
      <c r="U375" s="78"/>
      <c r="V375" s="78"/>
      <c r="W375" s="78"/>
      <c r="X375" s="78"/>
      <c r="Y375" s="78"/>
      <c r="Z375" s="78"/>
    </row>
    <row r="376" ht="15.75" customHeight="1">
      <c r="A376" s="19"/>
      <c r="B376" s="38" t="s">
        <v>99</v>
      </c>
      <c r="C376" s="39"/>
      <c r="D376" s="39"/>
      <c r="E376" s="39"/>
      <c r="F376" s="39"/>
      <c r="G376" s="39"/>
      <c r="H376" s="40"/>
      <c r="I376" s="41">
        <f>SUM(I374:I375)</f>
        <v>103.03</v>
      </c>
      <c r="J376" s="4"/>
      <c r="K376" s="4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</row>
    <row r="377" ht="15.75" customHeight="1">
      <c r="A377" s="19"/>
      <c r="B377" s="56"/>
      <c r="C377" s="90"/>
      <c r="D377" s="90"/>
      <c r="E377" s="90"/>
      <c r="F377" s="90"/>
      <c r="G377" s="91"/>
      <c r="H377" s="90"/>
      <c r="I377" s="90"/>
      <c r="J377" s="4"/>
      <c r="K377" s="4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</row>
    <row r="378" ht="15.0" customHeight="1">
      <c r="A378" s="58" t="s">
        <v>190</v>
      </c>
      <c r="B378" s="135" t="s">
        <v>191</v>
      </c>
      <c r="C378" s="89"/>
      <c r="D378" s="90"/>
      <c r="E378" s="89"/>
      <c r="F378" s="56"/>
      <c r="G378" s="91"/>
      <c r="H378" s="56"/>
      <c r="I378" s="90"/>
      <c r="J378" s="4"/>
      <c r="K378" s="4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</row>
    <row r="379" ht="15.75" customHeight="1">
      <c r="A379" s="12"/>
      <c r="B379" s="20"/>
      <c r="C379" s="15"/>
      <c r="D379" s="15"/>
      <c r="E379" s="15"/>
      <c r="F379" s="15"/>
      <c r="G379" s="16"/>
      <c r="H379" s="15"/>
      <c r="I379" s="15"/>
      <c r="J379" s="4"/>
      <c r="K379" s="4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</row>
    <row r="380" ht="15.75" customHeight="1">
      <c r="A380" s="19"/>
      <c r="B380" s="24" t="s">
        <v>6</v>
      </c>
      <c r="C380" s="25" t="s">
        <v>7</v>
      </c>
      <c r="D380" s="43" t="s">
        <v>8</v>
      </c>
      <c r="E380" s="43" t="s">
        <v>108</v>
      </c>
      <c r="F380" s="43" t="s">
        <v>9</v>
      </c>
      <c r="G380" s="26" t="s">
        <v>192</v>
      </c>
      <c r="H380" s="27"/>
      <c r="I380" s="85" t="s">
        <v>110</v>
      </c>
      <c r="J380" s="15"/>
      <c r="K380" s="15"/>
      <c r="L380" s="78"/>
      <c r="M380" s="78"/>
      <c r="N380" s="78"/>
      <c r="O380" s="78"/>
      <c r="P380" s="78"/>
      <c r="Q380" s="78"/>
      <c r="R380" s="78"/>
      <c r="S380" s="78"/>
      <c r="T380" s="78"/>
      <c r="U380" s="78"/>
      <c r="V380" s="78"/>
      <c r="W380" s="78"/>
      <c r="X380" s="78"/>
      <c r="Y380" s="78"/>
      <c r="Z380" s="78"/>
    </row>
    <row r="381" ht="15.75" customHeight="1">
      <c r="A381" s="19"/>
      <c r="B381" s="57" t="s">
        <v>193</v>
      </c>
      <c r="C381" s="93"/>
      <c r="D381" s="60"/>
      <c r="E381" s="52"/>
      <c r="F381" s="34"/>
      <c r="G381" s="95"/>
      <c r="H381" s="36"/>
      <c r="I381" s="118">
        <v>22.23</v>
      </c>
      <c r="J381" s="15"/>
      <c r="K381" s="15"/>
      <c r="L381" s="78"/>
      <c r="M381" s="78"/>
      <c r="N381" s="78"/>
      <c r="O381" s="78"/>
      <c r="P381" s="78"/>
      <c r="Q381" s="78"/>
      <c r="R381" s="78"/>
      <c r="S381" s="78"/>
      <c r="T381" s="78"/>
      <c r="U381" s="78"/>
      <c r="V381" s="78"/>
      <c r="W381" s="78"/>
      <c r="X381" s="78"/>
      <c r="Y381" s="78"/>
      <c r="Z381" s="78"/>
    </row>
    <row r="382" ht="15.75" customHeight="1">
      <c r="A382" s="19"/>
      <c r="B382" s="38" t="s">
        <v>111</v>
      </c>
      <c r="C382" s="39"/>
      <c r="D382" s="39"/>
      <c r="E382" s="39"/>
      <c r="F382" s="39"/>
      <c r="G382" s="39"/>
      <c r="H382" s="40"/>
      <c r="I382" s="41">
        <f>ROUNDUP(SUM(I381),2)</f>
        <v>22.23</v>
      </c>
      <c r="J382" s="4"/>
      <c r="K382" s="4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</row>
    <row r="383" ht="15.75" customHeight="1">
      <c r="A383" s="19"/>
      <c r="B383" s="56"/>
      <c r="C383" s="90"/>
      <c r="D383" s="90"/>
      <c r="E383" s="90"/>
      <c r="F383" s="90"/>
      <c r="G383" s="91"/>
      <c r="H383" s="90"/>
      <c r="I383" s="90"/>
      <c r="J383" s="4"/>
      <c r="K383" s="4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</row>
    <row r="384" ht="15.75" customHeight="1">
      <c r="A384" s="19"/>
      <c r="B384" s="56"/>
      <c r="C384" s="90"/>
      <c r="D384" s="90"/>
      <c r="E384" s="90"/>
      <c r="F384" s="90"/>
      <c r="G384" s="91"/>
      <c r="H384" s="90"/>
      <c r="I384" s="90"/>
      <c r="J384" s="4"/>
      <c r="K384" s="4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</row>
    <row r="385" ht="15.0" customHeight="1">
      <c r="A385" s="17" t="s">
        <v>194</v>
      </c>
      <c r="B385" s="88" t="s">
        <v>195</v>
      </c>
      <c r="C385" s="89"/>
      <c r="D385" s="90"/>
      <c r="E385" s="89"/>
      <c r="F385" s="56"/>
      <c r="G385" s="91"/>
      <c r="H385" s="56"/>
      <c r="I385" s="90"/>
      <c r="J385" s="4"/>
      <c r="K385" s="4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</row>
    <row r="386" ht="15.75" customHeight="1">
      <c r="A386" s="12"/>
      <c r="B386" s="20"/>
      <c r="C386" s="15"/>
      <c r="D386" s="15"/>
      <c r="E386" s="15"/>
      <c r="F386" s="15"/>
      <c r="G386" s="16"/>
      <c r="H386" s="15"/>
      <c r="I386" s="15"/>
      <c r="J386" s="4"/>
      <c r="K386" s="4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</row>
    <row r="387" ht="15.75" customHeight="1">
      <c r="A387" s="19"/>
      <c r="B387" s="24" t="s">
        <v>6</v>
      </c>
      <c r="C387" s="25" t="s">
        <v>7</v>
      </c>
      <c r="D387" s="43" t="s">
        <v>8</v>
      </c>
      <c r="E387" s="43" t="s">
        <v>108</v>
      </c>
      <c r="F387" s="43" t="s">
        <v>9</v>
      </c>
      <c r="G387" s="26" t="s">
        <v>192</v>
      </c>
      <c r="H387" s="27"/>
      <c r="I387" s="85" t="s">
        <v>110</v>
      </c>
      <c r="J387" s="15"/>
      <c r="K387" s="15"/>
      <c r="L387" s="78"/>
      <c r="M387" s="78"/>
      <c r="N387" s="78"/>
      <c r="O387" s="78"/>
      <c r="P387" s="78"/>
      <c r="Q387" s="78"/>
      <c r="R387" s="78"/>
      <c r="S387" s="78"/>
      <c r="T387" s="78"/>
      <c r="U387" s="78"/>
      <c r="V387" s="78"/>
      <c r="W387" s="78"/>
      <c r="X387" s="78"/>
      <c r="Y387" s="78"/>
      <c r="Z387" s="78"/>
    </row>
    <row r="388" ht="15.75" customHeight="1">
      <c r="A388" s="19"/>
      <c r="B388" s="57" t="s">
        <v>193</v>
      </c>
      <c r="C388" s="93"/>
      <c r="D388" s="60">
        <v>71.1</v>
      </c>
      <c r="E388" s="52"/>
      <c r="F388" s="34"/>
      <c r="G388" s="95">
        <v>0.245</v>
      </c>
      <c r="H388" s="36"/>
      <c r="I388" s="92">
        <f>D388*G388</f>
        <v>17.4195</v>
      </c>
      <c r="J388" s="15"/>
      <c r="K388" s="15"/>
      <c r="L388" s="78"/>
      <c r="M388" s="78"/>
      <c r="N388" s="78"/>
      <c r="O388" s="78"/>
      <c r="P388" s="78"/>
      <c r="Q388" s="78"/>
      <c r="R388" s="78"/>
      <c r="S388" s="78"/>
      <c r="T388" s="78"/>
      <c r="U388" s="78"/>
      <c r="V388" s="78"/>
      <c r="W388" s="78"/>
      <c r="X388" s="78"/>
      <c r="Y388" s="78"/>
      <c r="Z388" s="78"/>
    </row>
    <row r="389" ht="15.75" customHeight="1">
      <c r="A389" s="19"/>
      <c r="B389" s="38" t="s">
        <v>111</v>
      </c>
      <c r="C389" s="39"/>
      <c r="D389" s="39"/>
      <c r="E389" s="39"/>
      <c r="F389" s="39"/>
      <c r="G389" s="39"/>
      <c r="H389" s="40"/>
      <c r="I389" s="41">
        <f>ROUNDUP(SUM(I388),2)</f>
        <v>17.42</v>
      </c>
      <c r="J389" s="4"/>
      <c r="K389" s="4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</row>
    <row r="390" ht="15.75" customHeight="1">
      <c r="A390" s="19"/>
      <c r="B390" s="56"/>
      <c r="C390" s="90"/>
      <c r="D390" s="90"/>
      <c r="E390" s="90"/>
      <c r="F390" s="90"/>
      <c r="G390" s="91"/>
      <c r="H390" s="90"/>
      <c r="I390" s="90"/>
      <c r="J390" s="4"/>
      <c r="K390" s="4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</row>
    <row r="391" ht="15.0" customHeight="1">
      <c r="A391" s="17" t="s">
        <v>196</v>
      </c>
      <c r="B391" s="88" t="s">
        <v>197</v>
      </c>
      <c r="C391" s="89"/>
      <c r="D391" s="90"/>
      <c r="E391" s="89"/>
      <c r="F391" s="56"/>
      <c r="G391" s="91"/>
      <c r="H391" s="56"/>
      <c r="I391" s="90"/>
      <c r="J391" s="4"/>
      <c r="K391" s="4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</row>
    <row r="392" ht="15.75" customHeight="1">
      <c r="A392" s="12"/>
      <c r="B392" s="20"/>
      <c r="C392" s="15"/>
      <c r="D392" s="15"/>
      <c r="E392" s="15"/>
      <c r="F392" s="15"/>
      <c r="G392" s="16"/>
      <c r="H392" s="15"/>
      <c r="I392" s="15"/>
      <c r="J392" s="4"/>
      <c r="K392" s="4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</row>
    <row r="393" ht="15.75" customHeight="1">
      <c r="A393" s="19"/>
      <c r="B393" s="24" t="s">
        <v>6</v>
      </c>
      <c r="C393" s="25" t="s">
        <v>7</v>
      </c>
      <c r="D393" s="43" t="s">
        <v>8</v>
      </c>
      <c r="E393" s="43" t="s">
        <v>108</v>
      </c>
      <c r="F393" s="43" t="s">
        <v>9</v>
      </c>
      <c r="G393" s="26" t="s">
        <v>192</v>
      </c>
      <c r="H393" s="27"/>
      <c r="I393" s="85" t="s">
        <v>110</v>
      </c>
      <c r="J393" s="15"/>
      <c r="K393" s="15"/>
      <c r="L393" s="78"/>
      <c r="M393" s="78"/>
      <c r="N393" s="78"/>
      <c r="O393" s="78"/>
      <c r="P393" s="78"/>
      <c r="Q393" s="78"/>
      <c r="R393" s="78"/>
      <c r="S393" s="78"/>
      <c r="T393" s="78"/>
      <c r="U393" s="78"/>
      <c r="V393" s="78"/>
      <c r="W393" s="78"/>
      <c r="X393" s="78"/>
      <c r="Y393" s="78"/>
      <c r="Z393" s="78"/>
    </row>
    <row r="394" ht="15.75" customHeight="1">
      <c r="A394" s="19"/>
      <c r="B394" s="57" t="s">
        <v>193</v>
      </c>
      <c r="C394" s="93"/>
      <c r="D394" s="60">
        <v>2683.1</v>
      </c>
      <c r="E394" s="52"/>
      <c r="F394" s="34"/>
      <c r="G394" s="95">
        <v>0.395</v>
      </c>
      <c r="H394" s="36"/>
      <c r="I394" s="92">
        <f>D394*G394</f>
        <v>1059.8245</v>
      </c>
      <c r="J394" s="15"/>
      <c r="K394" s="15"/>
      <c r="L394" s="78"/>
      <c r="M394" s="78"/>
      <c r="N394" s="78"/>
      <c r="O394" s="78"/>
      <c r="P394" s="78"/>
      <c r="Q394" s="78"/>
      <c r="R394" s="78"/>
      <c r="S394" s="78"/>
      <c r="T394" s="78"/>
      <c r="U394" s="78"/>
      <c r="V394" s="78"/>
      <c r="W394" s="78"/>
      <c r="X394" s="78"/>
      <c r="Y394" s="78"/>
      <c r="Z394" s="78"/>
    </row>
    <row r="395" ht="15.75" customHeight="1">
      <c r="A395" s="19"/>
      <c r="B395" s="38" t="s">
        <v>111</v>
      </c>
      <c r="C395" s="39"/>
      <c r="D395" s="39"/>
      <c r="E395" s="39"/>
      <c r="F395" s="39"/>
      <c r="G395" s="39"/>
      <c r="H395" s="40"/>
      <c r="I395" s="41">
        <f>ROUNDUP(SUM(I394),2)</f>
        <v>1059.83</v>
      </c>
      <c r="J395" s="4"/>
      <c r="K395" s="4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</row>
    <row r="396" ht="15.75" customHeight="1">
      <c r="A396" s="19"/>
      <c r="B396" s="56"/>
      <c r="C396" s="90"/>
      <c r="D396" s="90"/>
      <c r="E396" s="90"/>
      <c r="F396" s="90"/>
      <c r="G396" s="91"/>
      <c r="H396" s="90"/>
      <c r="I396" s="90"/>
      <c r="J396" s="4"/>
      <c r="K396" s="4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</row>
    <row r="397" ht="15.0" customHeight="1">
      <c r="A397" s="17" t="s">
        <v>198</v>
      </c>
      <c r="B397" s="88" t="s">
        <v>199</v>
      </c>
      <c r="C397" s="89"/>
      <c r="D397" s="90"/>
      <c r="E397" s="89"/>
      <c r="F397" s="56"/>
      <c r="G397" s="91"/>
      <c r="H397" s="56"/>
      <c r="I397" s="90"/>
      <c r="J397" s="4"/>
      <c r="K397" s="4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</row>
    <row r="398" ht="15.75" customHeight="1">
      <c r="A398" s="12"/>
      <c r="B398" s="20"/>
      <c r="C398" s="15"/>
      <c r="D398" s="15"/>
      <c r="E398" s="15"/>
      <c r="F398" s="15"/>
      <c r="G398" s="16"/>
      <c r="H398" s="15"/>
      <c r="I398" s="15"/>
      <c r="J398" s="4"/>
      <c r="K398" s="4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</row>
    <row r="399" ht="15.75" customHeight="1">
      <c r="A399" s="19"/>
      <c r="B399" s="24" t="s">
        <v>6</v>
      </c>
      <c r="C399" s="25" t="s">
        <v>7</v>
      </c>
      <c r="D399" s="43" t="s">
        <v>8</v>
      </c>
      <c r="E399" s="43" t="s">
        <v>108</v>
      </c>
      <c r="F399" s="43" t="s">
        <v>9</v>
      </c>
      <c r="G399" s="26" t="s">
        <v>192</v>
      </c>
      <c r="H399" s="27"/>
      <c r="I399" s="85" t="s">
        <v>110</v>
      </c>
      <c r="J399" s="15"/>
      <c r="K399" s="15"/>
      <c r="L399" s="78"/>
      <c r="M399" s="78"/>
      <c r="N399" s="78"/>
      <c r="O399" s="78"/>
      <c r="P399" s="78"/>
      <c r="Q399" s="78"/>
      <c r="R399" s="78"/>
      <c r="S399" s="78"/>
      <c r="T399" s="78"/>
      <c r="U399" s="78"/>
      <c r="V399" s="78"/>
      <c r="W399" s="78"/>
      <c r="X399" s="78"/>
      <c r="Y399" s="78"/>
      <c r="Z399" s="78"/>
    </row>
    <row r="400" ht="15.75" customHeight="1">
      <c r="A400" s="19"/>
      <c r="B400" s="57" t="s">
        <v>193</v>
      </c>
      <c r="C400" s="93"/>
      <c r="D400" s="60">
        <v>2007.9</v>
      </c>
      <c r="E400" s="52"/>
      <c r="F400" s="34"/>
      <c r="G400" s="95">
        <v>0.617</v>
      </c>
      <c r="H400" s="36"/>
      <c r="I400" s="92">
        <f>D400*G400</f>
        <v>1238.8743</v>
      </c>
      <c r="J400" s="15"/>
      <c r="K400" s="15"/>
      <c r="L400" s="78"/>
      <c r="M400" s="78"/>
      <c r="N400" s="78"/>
      <c r="O400" s="78"/>
      <c r="P400" s="78"/>
      <c r="Q400" s="78"/>
      <c r="R400" s="78"/>
      <c r="S400" s="78"/>
      <c r="T400" s="78"/>
      <c r="U400" s="78"/>
      <c r="V400" s="78"/>
      <c r="W400" s="78"/>
      <c r="X400" s="78"/>
      <c r="Y400" s="78"/>
      <c r="Z400" s="78"/>
    </row>
    <row r="401" ht="15.75" customHeight="1">
      <c r="A401" s="19"/>
      <c r="B401" s="38" t="s">
        <v>111</v>
      </c>
      <c r="C401" s="39"/>
      <c r="D401" s="39"/>
      <c r="E401" s="39"/>
      <c r="F401" s="39"/>
      <c r="G401" s="39"/>
      <c r="H401" s="40"/>
      <c r="I401" s="41">
        <f>ROUNDUP(SUM(I400),2)</f>
        <v>1238.88</v>
      </c>
      <c r="J401" s="4"/>
      <c r="K401" s="4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</row>
    <row r="402" ht="15.75" customHeight="1">
      <c r="A402" s="12"/>
      <c r="B402" s="56"/>
      <c r="C402" s="15"/>
      <c r="D402" s="15"/>
      <c r="E402" s="15"/>
      <c r="F402" s="15"/>
      <c r="G402" s="16"/>
      <c r="H402" s="15"/>
      <c r="I402" s="15"/>
      <c r="J402" s="4"/>
      <c r="K402" s="4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</row>
    <row r="403" ht="15.0" customHeight="1">
      <c r="A403" s="17" t="s">
        <v>200</v>
      </c>
      <c r="B403" s="56" t="s">
        <v>169</v>
      </c>
      <c r="C403" s="89"/>
      <c r="D403" s="90"/>
      <c r="E403" s="89"/>
      <c r="F403" s="56"/>
      <c r="G403" s="91"/>
      <c r="H403" s="56"/>
      <c r="I403" s="90"/>
      <c r="J403" s="4"/>
      <c r="K403" s="4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</row>
    <row r="404" ht="15.75" customHeight="1">
      <c r="A404" s="12"/>
      <c r="B404" s="20"/>
      <c r="C404" s="15"/>
      <c r="D404" s="15"/>
      <c r="E404" s="15"/>
      <c r="F404" s="15"/>
      <c r="G404" s="16"/>
      <c r="H404" s="15"/>
      <c r="I404" s="15"/>
      <c r="J404" s="4"/>
      <c r="K404" s="4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</row>
    <row r="405" ht="15.75" customHeight="1">
      <c r="A405" s="19"/>
      <c r="B405" s="24" t="s">
        <v>6</v>
      </c>
      <c r="C405" s="25" t="s">
        <v>96</v>
      </c>
      <c r="D405" s="25" t="s">
        <v>10</v>
      </c>
      <c r="E405" s="43" t="s">
        <v>8</v>
      </c>
      <c r="F405" s="43" t="s">
        <v>9</v>
      </c>
      <c r="G405" s="26"/>
      <c r="H405" s="27"/>
      <c r="I405" s="85" t="s">
        <v>170</v>
      </c>
      <c r="J405" s="15"/>
      <c r="K405" s="15"/>
      <c r="L405" s="78"/>
      <c r="M405" s="78"/>
      <c r="N405" s="78"/>
      <c r="O405" s="78"/>
      <c r="P405" s="78"/>
      <c r="Q405" s="78"/>
      <c r="R405" s="78"/>
      <c r="S405" s="78"/>
      <c r="T405" s="78"/>
      <c r="U405" s="78"/>
      <c r="V405" s="78"/>
      <c r="W405" s="78"/>
      <c r="X405" s="78"/>
      <c r="Y405" s="78"/>
      <c r="Z405" s="78"/>
    </row>
    <row r="406" ht="15.75" customHeight="1">
      <c r="A406" s="19"/>
      <c r="B406" s="57" t="s">
        <v>193</v>
      </c>
      <c r="C406" s="52"/>
      <c r="D406" s="52"/>
      <c r="E406" s="52"/>
      <c r="F406" s="34"/>
      <c r="G406" s="35"/>
      <c r="H406" s="36"/>
      <c r="I406" s="118">
        <v>7.82</v>
      </c>
      <c r="J406" s="15"/>
      <c r="K406" s="15"/>
      <c r="L406" s="78"/>
      <c r="M406" s="78"/>
      <c r="N406" s="78"/>
      <c r="O406" s="78"/>
      <c r="P406" s="78"/>
      <c r="Q406" s="78"/>
      <c r="R406" s="78"/>
      <c r="S406" s="78"/>
      <c r="T406" s="78"/>
      <c r="U406" s="78"/>
      <c r="V406" s="78"/>
      <c r="W406" s="78"/>
      <c r="X406" s="78"/>
      <c r="Y406" s="78"/>
      <c r="Z406" s="78"/>
    </row>
    <row r="407" ht="15.75" customHeight="1">
      <c r="A407" s="19"/>
      <c r="B407" s="57" t="s">
        <v>201</v>
      </c>
      <c r="C407" s="97"/>
      <c r="D407" s="97"/>
      <c r="E407" s="97"/>
      <c r="F407" s="97"/>
      <c r="G407" s="97"/>
      <c r="H407" s="98"/>
      <c r="I407" s="139">
        <f>2.79+2.99</f>
        <v>5.78</v>
      </c>
      <c r="J407" s="4"/>
      <c r="K407" s="4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</row>
    <row r="408" ht="15.75" customHeight="1">
      <c r="A408" s="19"/>
      <c r="B408" s="38" t="s">
        <v>171</v>
      </c>
      <c r="C408" s="39"/>
      <c r="D408" s="39"/>
      <c r="E408" s="39"/>
      <c r="F408" s="39"/>
      <c r="G408" s="39"/>
      <c r="H408" s="40"/>
      <c r="I408" s="41">
        <f>SUM(I406:I407)</f>
        <v>13.6</v>
      </c>
      <c r="J408" s="4"/>
      <c r="K408" s="4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</row>
    <row r="409" ht="15.75" customHeight="1">
      <c r="A409" s="19"/>
      <c r="B409" s="56"/>
      <c r="C409" s="90"/>
      <c r="D409" s="90"/>
      <c r="E409" s="90"/>
      <c r="F409" s="90"/>
      <c r="G409" s="91"/>
      <c r="H409" s="90"/>
      <c r="I409" s="90"/>
      <c r="J409" s="4"/>
      <c r="K409" s="4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</row>
    <row r="410" ht="15.0" customHeight="1">
      <c r="A410" s="17" t="s">
        <v>202</v>
      </c>
      <c r="B410" s="88" t="s">
        <v>203</v>
      </c>
      <c r="C410" s="89"/>
      <c r="D410" s="90"/>
      <c r="E410" s="89"/>
      <c r="F410" s="56"/>
      <c r="G410" s="91"/>
      <c r="H410" s="56"/>
      <c r="I410" s="90"/>
      <c r="J410" s="4"/>
      <c r="K410" s="4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</row>
    <row r="411" ht="15.75" customHeight="1">
      <c r="A411" s="12"/>
      <c r="B411" s="20"/>
      <c r="C411" s="15"/>
      <c r="D411" s="15"/>
      <c r="E411" s="15"/>
      <c r="F411" s="15"/>
      <c r="G411" s="16"/>
      <c r="H411" s="15"/>
      <c r="I411" s="15"/>
      <c r="J411" s="4"/>
      <c r="K411" s="4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</row>
    <row r="412" ht="15.75" customHeight="1">
      <c r="A412" s="19"/>
      <c r="B412" s="24" t="s">
        <v>6</v>
      </c>
      <c r="C412" s="25" t="s">
        <v>7</v>
      </c>
      <c r="D412" s="43" t="s">
        <v>8</v>
      </c>
      <c r="E412" s="43" t="s">
        <v>108</v>
      </c>
      <c r="F412" s="43" t="s">
        <v>9</v>
      </c>
      <c r="G412" s="26"/>
      <c r="H412" s="27"/>
      <c r="I412" s="85" t="s">
        <v>14</v>
      </c>
      <c r="J412" s="15"/>
      <c r="K412" s="15"/>
      <c r="L412" s="78"/>
      <c r="M412" s="78"/>
      <c r="N412" s="78"/>
      <c r="O412" s="78"/>
      <c r="P412" s="78"/>
      <c r="Q412" s="78"/>
      <c r="R412" s="78"/>
      <c r="S412" s="78"/>
      <c r="T412" s="78"/>
      <c r="U412" s="78"/>
      <c r="V412" s="78"/>
      <c r="W412" s="78"/>
      <c r="X412" s="78"/>
      <c r="Y412" s="78"/>
      <c r="Z412" s="78"/>
    </row>
    <row r="413" ht="15.75" customHeight="1">
      <c r="A413" s="19"/>
      <c r="B413" s="57" t="s">
        <v>193</v>
      </c>
      <c r="C413" s="93"/>
      <c r="D413" s="52"/>
      <c r="E413" s="52"/>
      <c r="F413" s="34"/>
      <c r="G413" s="35"/>
      <c r="H413" s="36"/>
      <c r="I413" s="118">
        <v>60.4</v>
      </c>
      <c r="J413" s="15"/>
      <c r="K413" s="15"/>
      <c r="L413" s="78"/>
      <c r="M413" s="78"/>
      <c r="N413" s="78"/>
      <c r="O413" s="78"/>
      <c r="P413" s="78"/>
      <c r="Q413" s="78"/>
      <c r="R413" s="78"/>
      <c r="S413" s="78"/>
      <c r="T413" s="78"/>
      <c r="U413" s="78"/>
      <c r="V413" s="78"/>
      <c r="W413" s="78"/>
      <c r="X413" s="78"/>
      <c r="Y413" s="78"/>
      <c r="Z413" s="78"/>
    </row>
    <row r="414" ht="15.75" customHeight="1">
      <c r="A414" s="19"/>
      <c r="B414" s="38" t="s">
        <v>99</v>
      </c>
      <c r="C414" s="39"/>
      <c r="D414" s="39"/>
      <c r="E414" s="39"/>
      <c r="F414" s="39"/>
      <c r="G414" s="39"/>
      <c r="H414" s="40"/>
      <c r="I414" s="41">
        <f>SUM(I413)</f>
        <v>60.4</v>
      </c>
      <c r="J414" s="4"/>
      <c r="K414" s="4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</row>
    <row r="415" ht="15.75" customHeight="1">
      <c r="A415" s="19"/>
      <c r="B415" s="56"/>
      <c r="C415" s="90"/>
      <c r="D415" s="90"/>
      <c r="E415" s="90"/>
      <c r="F415" s="90"/>
      <c r="G415" s="91"/>
      <c r="H415" s="90"/>
      <c r="I415" s="90"/>
      <c r="J415" s="4"/>
      <c r="K415" s="4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</row>
    <row r="416" ht="15.75" customHeight="1">
      <c r="A416" s="17" t="s">
        <v>204</v>
      </c>
      <c r="B416" s="18" t="s">
        <v>205</v>
      </c>
      <c r="C416" s="15"/>
      <c r="D416" s="15"/>
      <c r="E416" s="15"/>
      <c r="F416" s="15"/>
      <c r="G416" s="16"/>
      <c r="H416" s="15"/>
      <c r="I416" s="15"/>
      <c r="J416" s="4"/>
      <c r="K416" s="4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</row>
    <row r="417" ht="15.75" customHeight="1">
      <c r="A417" s="12"/>
      <c r="B417" s="56"/>
      <c r="C417" s="15"/>
      <c r="D417" s="15"/>
      <c r="E417" s="15"/>
      <c r="F417" s="15"/>
      <c r="G417" s="16"/>
      <c r="H417" s="15"/>
      <c r="I417" s="15"/>
      <c r="J417" s="4"/>
      <c r="K417" s="4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</row>
    <row r="418" ht="15.0" customHeight="1">
      <c r="A418" s="17" t="s">
        <v>206</v>
      </c>
      <c r="B418" s="88" t="s">
        <v>207</v>
      </c>
      <c r="C418" s="89"/>
      <c r="D418" s="90"/>
      <c r="E418" s="89"/>
      <c r="F418" s="56"/>
      <c r="G418" s="91"/>
      <c r="H418" s="56"/>
      <c r="I418" s="90"/>
      <c r="J418" s="4"/>
      <c r="K418" s="4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</row>
    <row r="419" ht="15.75" customHeight="1">
      <c r="A419" s="12"/>
      <c r="B419" s="20"/>
      <c r="C419" s="15"/>
      <c r="D419" s="15"/>
      <c r="E419" s="15"/>
      <c r="F419" s="15"/>
      <c r="G419" s="16"/>
      <c r="H419" s="15"/>
      <c r="I419" s="15"/>
      <c r="J419" s="4"/>
      <c r="K419" s="4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</row>
    <row r="420" ht="15.75" customHeight="1">
      <c r="A420" s="19"/>
      <c r="B420" s="24" t="s">
        <v>6</v>
      </c>
      <c r="C420" s="25" t="s">
        <v>7</v>
      </c>
      <c r="D420" s="43" t="s">
        <v>8</v>
      </c>
      <c r="E420" s="43" t="s">
        <v>108</v>
      </c>
      <c r="F420" s="43" t="s">
        <v>9</v>
      </c>
      <c r="G420" s="26"/>
      <c r="H420" s="27"/>
      <c r="I420" s="85" t="s">
        <v>208</v>
      </c>
      <c r="J420" s="15"/>
      <c r="K420" s="15"/>
      <c r="L420" s="78"/>
      <c r="M420" s="78"/>
      <c r="N420" s="78"/>
      <c r="O420" s="78"/>
      <c r="P420" s="78"/>
      <c r="Q420" s="78"/>
      <c r="R420" s="78"/>
      <c r="S420" s="78"/>
      <c r="T420" s="78"/>
      <c r="U420" s="78"/>
      <c r="V420" s="78"/>
      <c r="W420" s="78"/>
      <c r="X420" s="78"/>
      <c r="Y420" s="78"/>
      <c r="Z420" s="78"/>
    </row>
    <row r="421" ht="15.75" customHeight="1">
      <c r="A421" s="19"/>
      <c r="B421" s="31" t="s">
        <v>209</v>
      </c>
      <c r="C421" s="93"/>
      <c r="D421" s="52">
        <f>1.6+0.2+0.2</f>
        <v>2</v>
      </c>
      <c r="E421" s="52"/>
      <c r="F421" s="34"/>
      <c r="G421" s="35"/>
      <c r="H421" s="36"/>
      <c r="I421" s="92">
        <f t="shared" ref="I421:I422" si="31">D421</f>
        <v>2</v>
      </c>
      <c r="J421" s="15"/>
      <c r="K421" s="15"/>
      <c r="L421" s="78"/>
      <c r="M421" s="78"/>
      <c r="N421" s="78"/>
      <c r="O421" s="78"/>
      <c r="P421" s="78"/>
      <c r="Q421" s="78"/>
      <c r="R421" s="78"/>
      <c r="S421" s="78"/>
      <c r="T421" s="78"/>
      <c r="U421" s="78"/>
      <c r="V421" s="78"/>
      <c r="W421" s="78"/>
      <c r="X421" s="78"/>
      <c r="Y421" s="78"/>
      <c r="Z421" s="78"/>
    </row>
    <row r="422" ht="15.75" customHeight="1">
      <c r="A422" s="19"/>
      <c r="B422" s="31" t="s">
        <v>209</v>
      </c>
      <c r="C422" s="93"/>
      <c r="D422" s="52">
        <f>1.9+0.2+0.2</f>
        <v>2.3</v>
      </c>
      <c r="E422" s="52"/>
      <c r="F422" s="34"/>
      <c r="G422" s="35"/>
      <c r="H422" s="36"/>
      <c r="I422" s="92">
        <f t="shared" si="31"/>
        <v>2.3</v>
      </c>
      <c r="J422" s="15"/>
      <c r="K422" s="15"/>
      <c r="L422" s="78"/>
      <c r="M422" s="78"/>
      <c r="N422" s="78"/>
      <c r="O422" s="78"/>
      <c r="P422" s="78"/>
      <c r="Q422" s="78"/>
      <c r="R422" s="78"/>
      <c r="S422" s="78"/>
      <c r="T422" s="78"/>
      <c r="U422" s="78"/>
      <c r="V422" s="78"/>
      <c r="W422" s="78"/>
      <c r="X422" s="78"/>
      <c r="Y422" s="78"/>
      <c r="Z422" s="78"/>
    </row>
    <row r="423" ht="15.75" customHeight="1">
      <c r="A423" s="19"/>
      <c r="B423" s="38" t="s">
        <v>210</v>
      </c>
      <c r="C423" s="39"/>
      <c r="D423" s="39"/>
      <c r="E423" s="39"/>
      <c r="F423" s="39"/>
      <c r="G423" s="39"/>
      <c r="H423" s="40"/>
      <c r="I423" s="41">
        <f>SUM(I421:I422)</f>
        <v>4.3</v>
      </c>
      <c r="J423" s="4"/>
      <c r="K423" s="4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</row>
    <row r="424" ht="15.75" customHeight="1">
      <c r="A424" s="19"/>
      <c r="B424" s="56"/>
      <c r="C424" s="90"/>
      <c r="D424" s="90"/>
      <c r="E424" s="90"/>
      <c r="F424" s="90"/>
      <c r="G424" s="91"/>
      <c r="H424" s="90"/>
      <c r="I424" s="90"/>
      <c r="J424" s="4"/>
      <c r="K424" s="4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</row>
    <row r="425" ht="15.0" customHeight="1">
      <c r="A425" s="17" t="s">
        <v>206</v>
      </c>
      <c r="B425" s="88" t="s">
        <v>211</v>
      </c>
      <c r="C425" s="89"/>
      <c r="D425" s="90"/>
      <c r="E425" s="89"/>
      <c r="F425" s="56"/>
      <c r="G425" s="91"/>
      <c r="H425" s="56"/>
      <c r="I425" s="90"/>
      <c r="J425" s="4"/>
      <c r="K425" s="4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</row>
    <row r="426" ht="15.75" customHeight="1">
      <c r="A426" s="12"/>
      <c r="B426" s="20"/>
      <c r="C426" s="15"/>
      <c r="D426" s="15"/>
      <c r="E426" s="15"/>
      <c r="F426" s="15"/>
      <c r="G426" s="16"/>
      <c r="H426" s="15"/>
      <c r="I426" s="15"/>
      <c r="J426" s="4"/>
      <c r="K426" s="4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</row>
    <row r="427" ht="15.75" customHeight="1">
      <c r="A427" s="19"/>
      <c r="B427" s="24" t="s">
        <v>6</v>
      </c>
      <c r="C427" s="25" t="s">
        <v>7</v>
      </c>
      <c r="D427" s="43" t="s">
        <v>8</v>
      </c>
      <c r="E427" s="43" t="s">
        <v>108</v>
      </c>
      <c r="F427" s="43" t="s">
        <v>9</v>
      </c>
      <c r="G427" s="26"/>
      <c r="H427" s="27"/>
      <c r="I427" s="85" t="s">
        <v>208</v>
      </c>
      <c r="J427" s="15"/>
      <c r="K427" s="15"/>
      <c r="L427" s="78"/>
      <c r="M427" s="78"/>
      <c r="N427" s="78"/>
      <c r="O427" s="78"/>
      <c r="P427" s="78"/>
      <c r="Q427" s="78"/>
      <c r="R427" s="78"/>
      <c r="S427" s="78"/>
      <c r="T427" s="78"/>
      <c r="U427" s="78"/>
      <c r="V427" s="78"/>
      <c r="W427" s="78"/>
      <c r="X427" s="78"/>
      <c r="Y427" s="78"/>
      <c r="Z427" s="78"/>
    </row>
    <row r="428" ht="15.75" customHeight="1">
      <c r="A428" s="19"/>
      <c r="B428" s="31" t="s">
        <v>212</v>
      </c>
      <c r="C428" s="111">
        <v>1.0</v>
      </c>
      <c r="D428" s="52">
        <f>24.45+2.56</f>
        <v>27.01</v>
      </c>
      <c r="E428" s="52"/>
      <c r="F428" s="34"/>
      <c r="G428" s="35"/>
      <c r="H428" s="36"/>
      <c r="I428" s="92">
        <f>C428*D428</f>
        <v>27.01</v>
      </c>
      <c r="J428" s="15"/>
      <c r="K428" s="15"/>
      <c r="L428" s="78"/>
      <c r="M428" s="78"/>
      <c r="N428" s="78"/>
      <c r="O428" s="78"/>
      <c r="P428" s="78"/>
      <c r="Q428" s="78"/>
      <c r="R428" s="78"/>
      <c r="S428" s="78"/>
      <c r="T428" s="78"/>
      <c r="U428" s="78"/>
      <c r="V428" s="78"/>
      <c r="W428" s="78"/>
      <c r="X428" s="78"/>
      <c r="Y428" s="78"/>
      <c r="Z428" s="78"/>
    </row>
    <row r="429" ht="15.75" customHeight="1">
      <c r="A429" s="19"/>
      <c r="B429" s="38" t="s">
        <v>210</v>
      </c>
      <c r="C429" s="39"/>
      <c r="D429" s="39"/>
      <c r="E429" s="39"/>
      <c r="F429" s="39"/>
      <c r="G429" s="39"/>
      <c r="H429" s="40"/>
      <c r="I429" s="41">
        <f>SUM(I428)</f>
        <v>27.01</v>
      </c>
      <c r="J429" s="4"/>
      <c r="K429" s="4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</row>
    <row r="430" ht="15.75" customHeight="1">
      <c r="A430" s="19"/>
      <c r="B430" s="56"/>
      <c r="C430" s="90"/>
      <c r="D430" s="90"/>
      <c r="E430" s="90"/>
      <c r="F430" s="90"/>
      <c r="G430" s="91"/>
      <c r="H430" s="90"/>
      <c r="I430" s="90"/>
      <c r="J430" s="4"/>
      <c r="K430" s="4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</row>
    <row r="431" ht="15.75" customHeight="1">
      <c r="A431" s="140" t="s">
        <v>213</v>
      </c>
      <c r="B431" s="18" t="s">
        <v>214</v>
      </c>
      <c r="C431" s="15"/>
      <c r="D431" s="15"/>
      <c r="E431" s="15"/>
      <c r="F431" s="15"/>
      <c r="G431" s="16"/>
      <c r="H431" s="15"/>
      <c r="I431" s="15"/>
      <c r="J431" s="4"/>
      <c r="K431" s="4"/>
      <c r="L431" s="78"/>
      <c r="M431" s="78"/>
      <c r="N431" s="78"/>
      <c r="O431" s="78"/>
      <c r="P431" s="78"/>
      <c r="Q431" s="78"/>
      <c r="R431" s="78"/>
      <c r="S431" s="78"/>
      <c r="T431" s="5"/>
      <c r="U431" s="5"/>
      <c r="V431" s="5"/>
      <c r="W431" s="5"/>
      <c r="X431" s="5"/>
      <c r="Y431" s="5"/>
      <c r="Z431" s="5"/>
    </row>
    <row r="432" ht="15.75" customHeight="1">
      <c r="A432" s="19"/>
      <c r="B432" s="20"/>
      <c r="C432" s="15"/>
      <c r="D432" s="15"/>
      <c r="E432" s="15"/>
      <c r="F432" s="15"/>
      <c r="G432" s="16"/>
      <c r="H432" s="15"/>
      <c r="I432" s="15"/>
      <c r="J432" s="4"/>
      <c r="K432" s="4"/>
      <c r="L432" s="78"/>
      <c r="M432" s="78"/>
      <c r="N432" s="78"/>
      <c r="O432" s="78"/>
      <c r="P432" s="78"/>
      <c r="Q432" s="78"/>
      <c r="R432" s="78"/>
      <c r="S432" s="78"/>
      <c r="T432" s="5"/>
      <c r="U432" s="5"/>
      <c r="V432" s="5"/>
      <c r="W432" s="5"/>
      <c r="X432" s="5"/>
      <c r="Y432" s="5"/>
      <c r="Z432" s="5"/>
    </row>
    <row r="433" ht="15.0" customHeight="1">
      <c r="A433" s="17" t="s">
        <v>215</v>
      </c>
      <c r="B433" s="88" t="s">
        <v>216</v>
      </c>
      <c r="C433" s="89"/>
      <c r="D433" s="90"/>
      <c r="E433" s="89"/>
      <c r="F433" s="56"/>
      <c r="G433" s="91"/>
      <c r="H433" s="56"/>
      <c r="I433" s="90"/>
      <c r="J433" s="4"/>
      <c r="K433" s="4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</row>
    <row r="434" ht="15.75" customHeight="1">
      <c r="A434" s="12"/>
      <c r="B434" s="20"/>
      <c r="C434" s="15"/>
      <c r="D434" s="15"/>
      <c r="E434" s="15"/>
      <c r="F434" s="15"/>
      <c r="G434" s="16"/>
      <c r="H434" s="15"/>
      <c r="I434" s="15"/>
      <c r="J434" s="4"/>
      <c r="K434" s="4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</row>
    <row r="435" ht="15.75" customHeight="1">
      <c r="A435" s="19"/>
      <c r="B435" s="24" t="s">
        <v>6</v>
      </c>
      <c r="C435" s="25" t="s">
        <v>44</v>
      </c>
      <c r="D435" s="25" t="s">
        <v>9</v>
      </c>
      <c r="E435" s="113" t="s">
        <v>217</v>
      </c>
      <c r="F435" s="113" t="s">
        <v>218</v>
      </c>
      <c r="G435" s="141" t="s">
        <v>219</v>
      </c>
      <c r="H435" s="43"/>
      <c r="I435" s="81" t="s">
        <v>99</v>
      </c>
      <c r="J435" s="4"/>
      <c r="K435" s="4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</row>
    <row r="436" ht="15.75" customHeight="1">
      <c r="A436" s="19"/>
      <c r="B436" s="51" t="s">
        <v>220</v>
      </c>
      <c r="C436" s="52">
        <v>1.05</v>
      </c>
      <c r="D436" s="52">
        <v>1.8</v>
      </c>
      <c r="E436" s="60">
        <v>0.2</v>
      </c>
      <c r="F436" s="52">
        <f t="shared" ref="F436:F466" si="32">(C436+D436)*2*E436</f>
        <v>1.14</v>
      </c>
      <c r="G436" s="142">
        <f t="shared" ref="G436:G466" si="33">2*((C436+0.3)*0.6/2+(D436+0.3)*0.6/2)</f>
        <v>2.07</v>
      </c>
      <c r="H436" s="71"/>
      <c r="I436" s="108">
        <f t="shared" ref="I436:I466" si="34">G436+F436</f>
        <v>3.21</v>
      </c>
      <c r="J436" s="4"/>
      <c r="K436" s="4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</row>
    <row r="437" ht="15.75" customHeight="1">
      <c r="A437" s="19"/>
      <c r="B437" s="73" t="s">
        <v>221</v>
      </c>
      <c r="C437" s="52">
        <v>1.15</v>
      </c>
      <c r="D437" s="74">
        <v>1.15</v>
      </c>
      <c r="E437" s="60">
        <v>0.2</v>
      </c>
      <c r="F437" s="52">
        <f t="shared" si="32"/>
        <v>0.92</v>
      </c>
      <c r="G437" s="142">
        <f t="shared" si="33"/>
        <v>1.74</v>
      </c>
      <c r="H437" s="76"/>
      <c r="I437" s="108">
        <f t="shared" si="34"/>
        <v>2.66</v>
      </c>
      <c r="J437" s="4"/>
      <c r="K437" s="4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</row>
    <row r="438" ht="15.75" customHeight="1">
      <c r="A438" s="19"/>
      <c r="B438" s="73" t="s">
        <v>222</v>
      </c>
      <c r="C438" s="52">
        <v>1.25</v>
      </c>
      <c r="D438" s="74">
        <v>2.2</v>
      </c>
      <c r="E438" s="60">
        <v>0.2</v>
      </c>
      <c r="F438" s="52">
        <f t="shared" si="32"/>
        <v>1.38</v>
      </c>
      <c r="G438" s="142">
        <f t="shared" si="33"/>
        <v>2.43</v>
      </c>
      <c r="H438" s="76"/>
      <c r="I438" s="108">
        <f t="shared" si="34"/>
        <v>3.81</v>
      </c>
      <c r="J438" s="4"/>
      <c r="K438" s="4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</row>
    <row r="439" ht="15.75" customHeight="1">
      <c r="A439" s="19"/>
      <c r="B439" s="51" t="s">
        <v>223</v>
      </c>
      <c r="C439" s="52">
        <v>1.15</v>
      </c>
      <c r="D439" s="74">
        <v>1.15</v>
      </c>
      <c r="E439" s="60">
        <v>0.2</v>
      </c>
      <c r="F439" s="52">
        <f t="shared" si="32"/>
        <v>0.92</v>
      </c>
      <c r="G439" s="142">
        <f t="shared" si="33"/>
        <v>1.74</v>
      </c>
      <c r="H439" s="76"/>
      <c r="I439" s="108">
        <f t="shared" si="34"/>
        <v>2.66</v>
      </c>
      <c r="J439" s="4"/>
      <c r="K439" s="4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</row>
    <row r="440" ht="15.75" customHeight="1">
      <c r="A440" s="19"/>
      <c r="B440" s="73" t="s">
        <v>224</v>
      </c>
      <c r="C440" s="52">
        <v>1.25</v>
      </c>
      <c r="D440" s="74">
        <v>2.2</v>
      </c>
      <c r="E440" s="60">
        <v>0.2</v>
      </c>
      <c r="F440" s="52">
        <f t="shared" si="32"/>
        <v>1.38</v>
      </c>
      <c r="G440" s="142">
        <f t="shared" si="33"/>
        <v>2.43</v>
      </c>
      <c r="H440" s="76"/>
      <c r="I440" s="108">
        <f t="shared" si="34"/>
        <v>3.81</v>
      </c>
      <c r="J440" s="4"/>
      <c r="K440" s="4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</row>
    <row r="441" ht="15.75" customHeight="1">
      <c r="A441" s="19"/>
      <c r="B441" s="73" t="s">
        <v>225</v>
      </c>
      <c r="C441" s="52">
        <v>1.15</v>
      </c>
      <c r="D441" s="74">
        <v>1.15</v>
      </c>
      <c r="E441" s="60">
        <v>0.2</v>
      </c>
      <c r="F441" s="52">
        <f t="shared" si="32"/>
        <v>0.92</v>
      </c>
      <c r="G441" s="142">
        <f t="shared" si="33"/>
        <v>1.74</v>
      </c>
      <c r="H441" s="76"/>
      <c r="I441" s="108">
        <f t="shared" si="34"/>
        <v>2.66</v>
      </c>
      <c r="J441" s="4"/>
      <c r="K441" s="4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</row>
    <row r="442" ht="15.75" customHeight="1">
      <c r="A442" s="19"/>
      <c r="B442" s="51" t="s">
        <v>226</v>
      </c>
      <c r="C442" s="52">
        <v>1.2</v>
      </c>
      <c r="D442" s="74">
        <v>2.1</v>
      </c>
      <c r="E442" s="60">
        <v>0.2</v>
      </c>
      <c r="F442" s="52">
        <f t="shared" si="32"/>
        <v>1.32</v>
      </c>
      <c r="G442" s="142">
        <f t="shared" si="33"/>
        <v>2.34</v>
      </c>
      <c r="H442" s="76"/>
      <c r="I442" s="108">
        <f t="shared" si="34"/>
        <v>3.66</v>
      </c>
      <c r="J442" s="4"/>
      <c r="K442" s="4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</row>
    <row r="443" ht="15.75" customHeight="1">
      <c r="A443" s="19"/>
      <c r="B443" s="73" t="s">
        <v>227</v>
      </c>
      <c r="C443" s="52">
        <v>1.2</v>
      </c>
      <c r="D443" s="52">
        <v>1.4</v>
      </c>
      <c r="E443" s="60">
        <v>0.2</v>
      </c>
      <c r="F443" s="52">
        <f t="shared" si="32"/>
        <v>1.04</v>
      </c>
      <c r="G443" s="142">
        <f t="shared" si="33"/>
        <v>1.92</v>
      </c>
      <c r="H443" s="71"/>
      <c r="I443" s="108">
        <f t="shared" si="34"/>
        <v>2.96</v>
      </c>
      <c r="J443" s="4"/>
      <c r="K443" s="4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</row>
    <row r="444" ht="15.75" customHeight="1">
      <c r="A444" s="19"/>
      <c r="B444" s="73" t="s">
        <v>228</v>
      </c>
      <c r="C444" s="52">
        <v>1.5</v>
      </c>
      <c r="D444" s="74">
        <v>1.5</v>
      </c>
      <c r="E444" s="60">
        <v>0.2</v>
      </c>
      <c r="F444" s="52">
        <f t="shared" si="32"/>
        <v>1.2</v>
      </c>
      <c r="G444" s="142">
        <f t="shared" si="33"/>
        <v>2.16</v>
      </c>
      <c r="H444" s="76"/>
      <c r="I444" s="108">
        <f t="shared" si="34"/>
        <v>3.36</v>
      </c>
      <c r="J444" s="4"/>
      <c r="K444" s="4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</row>
    <row r="445" ht="15.75" customHeight="1">
      <c r="A445" s="19"/>
      <c r="B445" s="51" t="s">
        <v>229</v>
      </c>
      <c r="C445" s="52">
        <v>1.5</v>
      </c>
      <c r="D445" s="74">
        <v>1.5</v>
      </c>
      <c r="E445" s="60">
        <v>0.2</v>
      </c>
      <c r="F445" s="52">
        <f t="shared" si="32"/>
        <v>1.2</v>
      </c>
      <c r="G445" s="142">
        <f t="shared" si="33"/>
        <v>2.16</v>
      </c>
      <c r="H445" s="76"/>
      <c r="I445" s="108">
        <f t="shared" si="34"/>
        <v>3.36</v>
      </c>
      <c r="J445" s="4"/>
      <c r="K445" s="4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</row>
    <row r="446" ht="15.75" customHeight="1">
      <c r="A446" s="19"/>
      <c r="B446" s="73" t="s">
        <v>230</v>
      </c>
      <c r="C446" s="52">
        <v>1.5</v>
      </c>
      <c r="D446" s="74">
        <v>1.5</v>
      </c>
      <c r="E446" s="60">
        <v>0.2</v>
      </c>
      <c r="F446" s="52">
        <f t="shared" si="32"/>
        <v>1.2</v>
      </c>
      <c r="G446" s="142">
        <f t="shared" si="33"/>
        <v>2.16</v>
      </c>
      <c r="H446" s="76"/>
      <c r="I446" s="108">
        <f t="shared" si="34"/>
        <v>3.36</v>
      </c>
      <c r="J446" s="4"/>
      <c r="K446" s="4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</row>
    <row r="447" ht="15.75" customHeight="1">
      <c r="A447" s="19"/>
      <c r="B447" s="73" t="s">
        <v>54</v>
      </c>
      <c r="C447" s="52">
        <v>1.5</v>
      </c>
      <c r="D447" s="74">
        <v>1.5</v>
      </c>
      <c r="E447" s="60">
        <v>0.2</v>
      </c>
      <c r="F447" s="52">
        <f t="shared" si="32"/>
        <v>1.2</v>
      </c>
      <c r="G447" s="142">
        <f t="shared" si="33"/>
        <v>2.16</v>
      </c>
      <c r="H447" s="76"/>
      <c r="I447" s="108">
        <f t="shared" si="34"/>
        <v>3.36</v>
      </c>
      <c r="J447" s="4"/>
      <c r="K447" s="4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</row>
    <row r="448" ht="15.75" customHeight="1">
      <c r="A448" s="19"/>
      <c r="B448" s="73" t="s">
        <v>55</v>
      </c>
      <c r="C448" s="52">
        <v>1.5</v>
      </c>
      <c r="D448" s="74">
        <v>1.5</v>
      </c>
      <c r="E448" s="60">
        <v>0.2</v>
      </c>
      <c r="F448" s="52">
        <f t="shared" si="32"/>
        <v>1.2</v>
      </c>
      <c r="G448" s="142">
        <f t="shared" si="33"/>
        <v>2.16</v>
      </c>
      <c r="H448" s="76"/>
      <c r="I448" s="108">
        <f t="shared" si="34"/>
        <v>3.36</v>
      </c>
      <c r="J448" s="4"/>
      <c r="K448" s="4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</row>
    <row r="449" ht="15.75" customHeight="1">
      <c r="A449" s="19"/>
      <c r="B449" s="73" t="s">
        <v>56</v>
      </c>
      <c r="C449" s="52">
        <v>1.5</v>
      </c>
      <c r="D449" s="74">
        <v>1.5</v>
      </c>
      <c r="E449" s="60">
        <v>0.2</v>
      </c>
      <c r="F449" s="52">
        <f t="shared" si="32"/>
        <v>1.2</v>
      </c>
      <c r="G449" s="142">
        <f t="shared" si="33"/>
        <v>2.16</v>
      </c>
      <c r="H449" s="76"/>
      <c r="I449" s="108">
        <f t="shared" si="34"/>
        <v>3.36</v>
      </c>
      <c r="J449" s="4"/>
      <c r="K449" s="4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</row>
    <row r="450" ht="15.75" customHeight="1">
      <c r="A450" s="19"/>
      <c r="B450" s="73" t="s">
        <v>57</v>
      </c>
      <c r="C450" s="52">
        <v>1.5</v>
      </c>
      <c r="D450" s="74">
        <v>1.5</v>
      </c>
      <c r="E450" s="60">
        <v>0.2</v>
      </c>
      <c r="F450" s="52">
        <f t="shared" si="32"/>
        <v>1.2</v>
      </c>
      <c r="G450" s="142">
        <f t="shared" si="33"/>
        <v>2.16</v>
      </c>
      <c r="H450" s="71"/>
      <c r="I450" s="108">
        <f t="shared" si="34"/>
        <v>3.36</v>
      </c>
      <c r="J450" s="4"/>
      <c r="K450" s="4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</row>
    <row r="451" ht="15.75" customHeight="1">
      <c r="A451" s="19"/>
      <c r="B451" s="73" t="s">
        <v>58</v>
      </c>
      <c r="C451" s="52">
        <v>1.5</v>
      </c>
      <c r="D451" s="74">
        <v>1.5</v>
      </c>
      <c r="E451" s="60">
        <v>0.2</v>
      </c>
      <c r="F451" s="52">
        <f t="shared" si="32"/>
        <v>1.2</v>
      </c>
      <c r="G451" s="142">
        <f t="shared" si="33"/>
        <v>2.16</v>
      </c>
      <c r="H451" s="76"/>
      <c r="I451" s="108">
        <f t="shared" si="34"/>
        <v>3.36</v>
      </c>
      <c r="J451" s="4"/>
      <c r="K451" s="4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</row>
    <row r="452" ht="15.75" customHeight="1">
      <c r="A452" s="19"/>
      <c r="B452" s="73" t="s">
        <v>59</v>
      </c>
      <c r="C452" s="52">
        <v>1.5</v>
      </c>
      <c r="D452" s="74">
        <v>1.5</v>
      </c>
      <c r="E452" s="60">
        <v>0.2</v>
      </c>
      <c r="F452" s="52">
        <f t="shared" si="32"/>
        <v>1.2</v>
      </c>
      <c r="G452" s="142">
        <f t="shared" si="33"/>
        <v>2.16</v>
      </c>
      <c r="H452" s="76"/>
      <c r="I452" s="108">
        <f t="shared" si="34"/>
        <v>3.36</v>
      </c>
      <c r="J452" s="4"/>
      <c r="K452" s="4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</row>
    <row r="453" ht="15.75" customHeight="1">
      <c r="A453" s="19"/>
      <c r="B453" s="73" t="s">
        <v>60</v>
      </c>
      <c r="C453" s="52">
        <v>1.5</v>
      </c>
      <c r="D453" s="74">
        <v>1.5</v>
      </c>
      <c r="E453" s="60">
        <v>0.2</v>
      </c>
      <c r="F453" s="52">
        <f t="shared" si="32"/>
        <v>1.2</v>
      </c>
      <c r="G453" s="142">
        <f t="shared" si="33"/>
        <v>2.16</v>
      </c>
      <c r="H453" s="76"/>
      <c r="I453" s="108">
        <f t="shared" si="34"/>
        <v>3.36</v>
      </c>
      <c r="J453" s="4"/>
      <c r="K453" s="4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</row>
    <row r="454" ht="15.75" customHeight="1">
      <c r="A454" s="19"/>
      <c r="B454" s="73" t="s">
        <v>61</v>
      </c>
      <c r="C454" s="52">
        <v>1.5</v>
      </c>
      <c r="D454" s="74">
        <v>1.5</v>
      </c>
      <c r="E454" s="60">
        <v>0.2</v>
      </c>
      <c r="F454" s="52">
        <f t="shared" si="32"/>
        <v>1.2</v>
      </c>
      <c r="G454" s="142">
        <f t="shared" si="33"/>
        <v>2.16</v>
      </c>
      <c r="H454" s="76"/>
      <c r="I454" s="108">
        <f t="shared" si="34"/>
        <v>3.36</v>
      </c>
      <c r="J454" s="4"/>
      <c r="K454" s="4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</row>
    <row r="455" ht="15.75" customHeight="1">
      <c r="A455" s="19"/>
      <c r="B455" s="73" t="s">
        <v>231</v>
      </c>
      <c r="C455" s="52">
        <v>1.0</v>
      </c>
      <c r="D455" s="74">
        <v>1.0</v>
      </c>
      <c r="E455" s="60">
        <v>0.2</v>
      </c>
      <c r="F455" s="52">
        <f t="shared" si="32"/>
        <v>0.8</v>
      </c>
      <c r="G455" s="142">
        <f t="shared" si="33"/>
        <v>1.56</v>
      </c>
      <c r="H455" s="76"/>
      <c r="I455" s="108">
        <f t="shared" si="34"/>
        <v>2.36</v>
      </c>
      <c r="J455" s="4"/>
      <c r="K455" s="4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</row>
    <row r="456" ht="15.75" customHeight="1">
      <c r="A456" s="19"/>
      <c r="B456" s="73" t="s">
        <v>232</v>
      </c>
      <c r="C456" s="52">
        <v>1.0</v>
      </c>
      <c r="D456" s="74">
        <v>1.0</v>
      </c>
      <c r="E456" s="60">
        <v>0.2</v>
      </c>
      <c r="F456" s="52">
        <f t="shared" si="32"/>
        <v>0.8</v>
      </c>
      <c r="G456" s="142">
        <f t="shared" si="33"/>
        <v>1.56</v>
      </c>
      <c r="H456" s="76"/>
      <c r="I456" s="108">
        <f t="shared" si="34"/>
        <v>2.36</v>
      </c>
      <c r="J456" s="4"/>
      <c r="K456" s="4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</row>
    <row r="457" ht="15.75" customHeight="1">
      <c r="A457" s="19"/>
      <c r="B457" s="73" t="s">
        <v>233</v>
      </c>
      <c r="C457" s="52">
        <v>1.5</v>
      </c>
      <c r="D457" s="52">
        <v>1.5</v>
      </c>
      <c r="E457" s="60">
        <v>0.2</v>
      </c>
      <c r="F457" s="52">
        <f t="shared" si="32"/>
        <v>1.2</v>
      </c>
      <c r="G457" s="142">
        <f t="shared" si="33"/>
        <v>2.16</v>
      </c>
      <c r="H457" s="71"/>
      <c r="I457" s="108">
        <f t="shared" si="34"/>
        <v>3.36</v>
      </c>
      <c r="J457" s="4"/>
      <c r="K457" s="4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</row>
    <row r="458" ht="15.75" customHeight="1">
      <c r="A458" s="19"/>
      <c r="B458" s="73" t="s">
        <v>234</v>
      </c>
      <c r="C458" s="52">
        <v>1.5</v>
      </c>
      <c r="D458" s="74">
        <v>1.5</v>
      </c>
      <c r="E458" s="60">
        <v>0.2</v>
      </c>
      <c r="F458" s="52">
        <f t="shared" si="32"/>
        <v>1.2</v>
      </c>
      <c r="G458" s="142">
        <f t="shared" si="33"/>
        <v>2.16</v>
      </c>
      <c r="H458" s="76"/>
      <c r="I458" s="108">
        <f t="shared" si="34"/>
        <v>3.36</v>
      </c>
      <c r="J458" s="4"/>
      <c r="K458" s="4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</row>
    <row r="459" ht="15.75" customHeight="1">
      <c r="A459" s="19"/>
      <c r="B459" s="73" t="s">
        <v>235</v>
      </c>
      <c r="C459" s="52">
        <v>1.4</v>
      </c>
      <c r="D459" s="74">
        <v>1.4</v>
      </c>
      <c r="E459" s="60">
        <v>0.2</v>
      </c>
      <c r="F459" s="52">
        <f t="shared" si="32"/>
        <v>1.12</v>
      </c>
      <c r="G459" s="142">
        <f t="shared" si="33"/>
        <v>2.04</v>
      </c>
      <c r="H459" s="76"/>
      <c r="I459" s="108">
        <f t="shared" si="34"/>
        <v>3.16</v>
      </c>
      <c r="J459" s="4"/>
      <c r="K459" s="4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</row>
    <row r="460" ht="15.75" customHeight="1">
      <c r="A460" s="19"/>
      <c r="B460" s="73" t="s">
        <v>236</v>
      </c>
      <c r="C460" s="52">
        <v>1.4</v>
      </c>
      <c r="D460" s="74">
        <v>1.4</v>
      </c>
      <c r="E460" s="60">
        <v>0.2</v>
      </c>
      <c r="F460" s="52">
        <f t="shared" si="32"/>
        <v>1.12</v>
      </c>
      <c r="G460" s="142">
        <f t="shared" si="33"/>
        <v>2.04</v>
      </c>
      <c r="H460" s="76"/>
      <c r="I460" s="108">
        <f t="shared" si="34"/>
        <v>3.16</v>
      </c>
      <c r="J460" s="4"/>
      <c r="K460" s="4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</row>
    <row r="461" ht="15.75" customHeight="1">
      <c r="A461" s="19"/>
      <c r="B461" s="73" t="s">
        <v>237</v>
      </c>
      <c r="C461" s="52">
        <v>1.0</v>
      </c>
      <c r="D461" s="74">
        <v>1.0</v>
      </c>
      <c r="E461" s="60">
        <v>0.2</v>
      </c>
      <c r="F461" s="52">
        <f t="shared" si="32"/>
        <v>0.8</v>
      </c>
      <c r="G461" s="142">
        <f t="shared" si="33"/>
        <v>1.56</v>
      </c>
      <c r="H461" s="76"/>
      <c r="I461" s="108">
        <f t="shared" si="34"/>
        <v>2.36</v>
      </c>
      <c r="J461" s="4"/>
      <c r="K461" s="4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</row>
    <row r="462" ht="15.75" customHeight="1">
      <c r="A462" s="19"/>
      <c r="B462" s="73" t="s">
        <v>238</v>
      </c>
      <c r="C462" s="52">
        <v>1.0</v>
      </c>
      <c r="D462" s="74">
        <v>1.0</v>
      </c>
      <c r="E462" s="60">
        <v>0.2</v>
      </c>
      <c r="F462" s="52">
        <f t="shared" si="32"/>
        <v>0.8</v>
      </c>
      <c r="G462" s="142">
        <f t="shared" si="33"/>
        <v>1.56</v>
      </c>
      <c r="H462" s="76"/>
      <c r="I462" s="108">
        <f t="shared" si="34"/>
        <v>2.36</v>
      </c>
      <c r="J462" s="4"/>
      <c r="K462" s="4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</row>
    <row r="463" ht="15.75" customHeight="1">
      <c r="A463" s="19"/>
      <c r="B463" s="73" t="s">
        <v>239</v>
      </c>
      <c r="C463" s="52">
        <v>1.05</v>
      </c>
      <c r="D463" s="74">
        <v>1.8</v>
      </c>
      <c r="E463" s="60">
        <v>0.2</v>
      </c>
      <c r="F463" s="52">
        <f t="shared" si="32"/>
        <v>1.14</v>
      </c>
      <c r="G463" s="142">
        <f t="shared" si="33"/>
        <v>2.07</v>
      </c>
      <c r="H463" s="76"/>
      <c r="I463" s="108">
        <f t="shared" si="34"/>
        <v>3.21</v>
      </c>
      <c r="J463" s="4"/>
      <c r="K463" s="4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</row>
    <row r="464" ht="15.75" customHeight="1">
      <c r="A464" s="19"/>
      <c r="B464" s="73" t="s">
        <v>240</v>
      </c>
      <c r="C464" s="52">
        <v>1.05</v>
      </c>
      <c r="D464" s="74">
        <v>1.8</v>
      </c>
      <c r="E464" s="60">
        <v>0.2</v>
      </c>
      <c r="F464" s="52">
        <f t="shared" si="32"/>
        <v>1.14</v>
      </c>
      <c r="G464" s="142">
        <f t="shared" si="33"/>
        <v>2.07</v>
      </c>
      <c r="H464" s="76"/>
      <c r="I464" s="108">
        <f t="shared" si="34"/>
        <v>3.21</v>
      </c>
      <c r="J464" s="4"/>
      <c r="K464" s="4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</row>
    <row r="465" ht="15.75" customHeight="1">
      <c r="A465" s="19"/>
      <c r="B465" s="73" t="s">
        <v>241</v>
      </c>
      <c r="C465" s="52">
        <v>0.9</v>
      </c>
      <c r="D465" s="74">
        <v>0.9</v>
      </c>
      <c r="E465" s="60">
        <v>0.2</v>
      </c>
      <c r="F465" s="52">
        <f t="shared" si="32"/>
        <v>0.72</v>
      </c>
      <c r="G465" s="142">
        <f t="shared" si="33"/>
        <v>1.44</v>
      </c>
      <c r="H465" s="76"/>
      <c r="I465" s="108">
        <f t="shared" si="34"/>
        <v>2.16</v>
      </c>
      <c r="J465" s="4"/>
      <c r="K465" s="4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</row>
    <row r="466" ht="15.75" customHeight="1">
      <c r="A466" s="19"/>
      <c r="B466" s="73" t="s">
        <v>242</v>
      </c>
      <c r="C466" s="52">
        <v>0.9</v>
      </c>
      <c r="D466" s="74">
        <v>0.9</v>
      </c>
      <c r="E466" s="60">
        <v>0.2</v>
      </c>
      <c r="F466" s="52">
        <f t="shared" si="32"/>
        <v>0.72</v>
      </c>
      <c r="G466" s="142">
        <f t="shared" si="33"/>
        <v>1.44</v>
      </c>
      <c r="H466" s="76"/>
      <c r="I466" s="108">
        <f t="shared" si="34"/>
        <v>2.16</v>
      </c>
      <c r="J466" s="4"/>
      <c r="K466" s="4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</row>
    <row r="467" ht="15.75" customHeight="1">
      <c r="A467" s="19"/>
      <c r="B467" s="82" t="s">
        <v>73</v>
      </c>
      <c r="C467" s="39"/>
      <c r="D467" s="39"/>
      <c r="E467" s="39"/>
      <c r="F467" s="39"/>
      <c r="G467" s="39"/>
      <c r="H467" s="39"/>
      <c r="I467" s="41">
        <f>SUM(I436:I466)</f>
        <v>95.61</v>
      </c>
      <c r="J467" s="4"/>
      <c r="K467" s="4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</row>
    <row r="468" ht="15.75" customHeight="1">
      <c r="A468" s="12"/>
      <c r="B468" s="20"/>
      <c r="C468" s="15"/>
      <c r="D468" s="15"/>
      <c r="E468" s="15"/>
      <c r="F468" s="15"/>
      <c r="G468" s="16"/>
      <c r="H468" s="15"/>
      <c r="I468" s="15"/>
      <c r="J468" s="4"/>
      <c r="K468" s="4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</row>
    <row r="469" ht="15.0" customHeight="1">
      <c r="A469" s="17" t="s">
        <v>243</v>
      </c>
      <c r="B469" s="135" t="s">
        <v>244</v>
      </c>
      <c r="C469" s="89"/>
      <c r="D469" s="90"/>
      <c r="E469" s="89"/>
      <c r="F469" s="56"/>
      <c r="G469" s="91"/>
      <c r="H469" s="56"/>
      <c r="I469" s="90"/>
      <c r="J469" s="4"/>
      <c r="K469" s="4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</row>
    <row r="470" ht="15.75" customHeight="1">
      <c r="A470" s="12"/>
      <c r="B470" s="20"/>
      <c r="C470" s="15"/>
      <c r="D470" s="15"/>
      <c r="E470" s="15"/>
      <c r="F470" s="15"/>
      <c r="G470" s="16"/>
      <c r="H470" s="15"/>
      <c r="I470" s="15"/>
      <c r="J470" s="4"/>
      <c r="K470" s="4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</row>
    <row r="471" ht="15.75" customHeight="1">
      <c r="A471" s="19"/>
      <c r="B471" s="24" t="s">
        <v>6</v>
      </c>
      <c r="C471" s="25" t="s">
        <v>7</v>
      </c>
      <c r="D471" s="43" t="s">
        <v>8</v>
      </c>
      <c r="E471" s="43" t="s">
        <v>108</v>
      </c>
      <c r="F471" s="43" t="s">
        <v>9</v>
      </c>
      <c r="G471" s="26"/>
      <c r="H471" s="27"/>
      <c r="I471" s="130" t="s">
        <v>14</v>
      </c>
      <c r="J471" s="15"/>
      <c r="K471" s="15"/>
      <c r="L471" s="78"/>
      <c r="M471" s="78"/>
      <c r="N471" s="78"/>
      <c r="O471" s="78"/>
      <c r="P471" s="78"/>
      <c r="Q471" s="78"/>
      <c r="R471" s="78"/>
      <c r="S471" s="78"/>
      <c r="T471" s="78"/>
      <c r="U471" s="78"/>
      <c r="V471" s="78"/>
      <c r="W471" s="78"/>
      <c r="X471" s="78"/>
      <c r="Y471" s="78"/>
      <c r="Z471" s="78"/>
    </row>
    <row r="472" ht="15.75" customHeight="1">
      <c r="A472" s="19"/>
      <c r="B472" s="143" t="s">
        <v>245</v>
      </c>
      <c r="C472" s="93"/>
      <c r="D472" s="144">
        <v>22.3</v>
      </c>
      <c r="E472" s="33"/>
      <c r="F472" s="111">
        <v>0.8</v>
      </c>
      <c r="G472" s="145"/>
      <c r="H472" s="93"/>
      <c r="I472" s="92">
        <f t="shared" ref="I472:I473" si="35">D472*F472</f>
        <v>17.84</v>
      </c>
      <c r="J472" s="15"/>
      <c r="K472" s="15"/>
      <c r="L472" s="78"/>
      <c r="M472" s="78"/>
      <c r="N472" s="78"/>
      <c r="O472" s="78"/>
      <c r="P472" s="78"/>
      <c r="Q472" s="78"/>
      <c r="R472" s="78"/>
      <c r="S472" s="78"/>
      <c r="T472" s="78"/>
      <c r="U472" s="78"/>
      <c r="V472" s="78"/>
      <c r="W472" s="78"/>
      <c r="X472" s="78"/>
      <c r="Y472" s="78"/>
      <c r="Z472" s="78"/>
    </row>
    <row r="473" ht="15.75" customHeight="1">
      <c r="A473" s="19"/>
      <c r="B473" s="143" t="s">
        <v>245</v>
      </c>
      <c r="C473" s="93"/>
      <c r="D473" s="144">
        <v>9.55</v>
      </c>
      <c r="E473" s="33"/>
      <c r="F473" s="111">
        <v>0.8</v>
      </c>
      <c r="G473" s="145"/>
      <c r="H473" s="93"/>
      <c r="I473" s="146">
        <f t="shared" si="35"/>
        <v>7.64</v>
      </c>
      <c r="J473" s="15"/>
      <c r="K473" s="15"/>
      <c r="L473" s="78"/>
      <c r="M473" s="78"/>
      <c r="N473" s="78"/>
      <c r="O473" s="78"/>
      <c r="P473" s="78"/>
      <c r="Q473" s="78"/>
      <c r="R473" s="78"/>
      <c r="S473" s="78"/>
      <c r="T473" s="78"/>
      <c r="U473" s="78"/>
      <c r="V473" s="78"/>
      <c r="W473" s="78"/>
      <c r="X473" s="78"/>
      <c r="Y473" s="78"/>
      <c r="Z473" s="78"/>
    </row>
    <row r="474" ht="15.75" customHeight="1">
      <c r="A474" s="19"/>
      <c r="B474" s="82" t="s">
        <v>73</v>
      </c>
      <c r="C474" s="39"/>
      <c r="D474" s="39"/>
      <c r="E474" s="39"/>
      <c r="F474" s="39"/>
      <c r="G474" s="39"/>
      <c r="H474" s="39"/>
      <c r="I474" s="41">
        <f>SUM(I472:I473)</f>
        <v>25.48</v>
      </c>
      <c r="J474" s="4"/>
      <c r="K474" s="4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</row>
    <row r="475" ht="15.75" customHeight="1">
      <c r="A475" s="19"/>
      <c r="B475" s="56"/>
      <c r="C475" s="90"/>
      <c r="D475" s="90"/>
      <c r="E475" s="90"/>
      <c r="F475" s="90"/>
      <c r="G475" s="91"/>
      <c r="H475" s="90"/>
      <c r="I475" s="90"/>
      <c r="J475" s="4"/>
      <c r="K475" s="4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</row>
    <row r="476" ht="15.75" customHeight="1">
      <c r="A476" s="17" t="s">
        <v>243</v>
      </c>
      <c r="B476" s="135" t="s">
        <v>246</v>
      </c>
      <c r="C476" s="89"/>
      <c r="D476" s="90"/>
      <c r="E476" s="89"/>
      <c r="F476" s="56"/>
      <c r="G476" s="91"/>
      <c r="H476" s="56"/>
      <c r="I476" s="90"/>
      <c r="J476" s="4"/>
      <c r="K476" s="4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</row>
    <row r="477" ht="15.75" customHeight="1">
      <c r="A477" s="12"/>
      <c r="B477" s="20"/>
      <c r="C477" s="15"/>
      <c r="D477" s="15"/>
      <c r="E477" s="15"/>
      <c r="F477" s="15"/>
      <c r="G477" s="16"/>
      <c r="H477" s="15"/>
      <c r="I477" s="15"/>
      <c r="J477" s="4"/>
      <c r="K477" s="4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</row>
    <row r="478" ht="15.75" customHeight="1">
      <c r="A478" s="19"/>
      <c r="B478" s="24" t="s">
        <v>6</v>
      </c>
      <c r="C478" s="25" t="s">
        <v>7</v>
      </c>
      <c r="D478" s="43" t="s">
        <v>8</v>
      </c>
      <c r="E478" s="43" t="s">
        <v>108</v>
      </c>
      <c r="F478" s="43" t="s">
        <v>9</v>
      </c>
      <c r="G478" s="26"/>
      <c r="H478" s="27"/>
      <c r="I478" s="130" t="s">
        <v>14</v>
      </c>
      <c r="J478" s="4"/>
      <c r="K478" s="4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</row>
    <row r="479" ht="15.75" customHeight="1">
      <c r="A479" s="19"/>
      <c r="B479" s="143" t="s">
        <v>245</v>
      </c>
      <c r="C479" s="93"/>
      <c r="D479" s="144">
        <v>22.3</v>
      </c>
      <c r="E479" s="33"/>
      <c r="F479" s="111">
        <v>0.8</v>
      </c>
      <c r="G479" s="145"/>
      <c r="H479" s="93"/>
      <c r="I479" s="92">
        <f t="shared" ref="I479:I480" si="36">D479*F479</f>
        <v>17.84</v>
      </c>
      <c r="J479" s="4"/>
      <c r="K479" s="4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</row>
    <row r="480" ht="15.75" customHeight="1">
      <c r="A480" s="19"/>
      <c r="B480" s="143" t="s">
        <v>245</v>
      </c>
      <c r="C480" s="93"/>
      <c r="D480" s="144">
        <v>9.55</v>
      </c>
      <c r="E480" s="33"/>
      <c r="F480" s="111">
        <v>0.8</v>
      </c>
      <c r="G480" s="145"/>
      <c r="H480" s="93"/>
      <c r="I480" s="146">
        <f t="shared" si="36"/>
        <v>7.64</v>
      </c>
      <c r="J480" s="4"/>
      <c r="K480" s="4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</row>
    <row r="481" ht="15.75" customHeight="1">
      <c r="A481" s="19"/>
      <c r="B481" s="82" t="s">
        <v>73</v>
      </c>
      <c r="C481" s="39"/>
      <c r="D481" s="39"/>
      <c r="E481" s="39"/>
      <c r="F481" s="39"/>
      <c r="G481" s="39"/>
      <c r="H481" s="39"/>
      <c r="I481" s="41">
        <f>SUM(I479:I480)</f>
        <v>25.48</v>
      </c>
      <c r="J481" s="4"/>
      <c r="K481" s="4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</row>
    <row r="482" ht="15.75" customHeight="1">
      <c r="A482" s="19"/>
      <c r="B482" s="56"/>
      <c r="C482" s="90"/>
      <c r="D482" s="90"/>
      <c r="E482" s="90"/>
      <c r="F482" s="90"/>
      <c r="G482" s="91"/>
      <c r="H482" s="90"/>
      <c r="I482" s="90"/>
      <c r="J482" s="4"/>
      <c r="K482" s="4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</row>
    <row r="483" ht="15.75" customHeight="1">
      <c r="A483" s="17" t="s">
        <v>243</v>
      </c>
      <c r="B483" s="135" t="s">
        <v>247</v>
      </c>
      <c r="C483" s="89"/>
      <c r="D483" s="90"/>
      <c r="E483" s="89"/>
      <c r="F483" s="56"/>
      <c r="G483" s="91"/>
      <c r="H483" s="56"/>
      <c r="I483" s="90"/>
      <c r="J483" s="4"/>
      <c r="K483" s="4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</row>
    <row r="484" ht="15.75" customHeight="1">
      <c r="A484" s="12"/>
      <c r="B484" s="20"/>
      <c r="C484" s="15"/>
      <c r="D484" s="15"/>
      <c r="E484" s="15"/>
      <c r="F484" s="15"/>
      <c r="G484" s="16"/>
      <c r="H484" s="15"/>
      <c r="I484" s="15"/>
      <c r="J484" s="4"/>
      <c r="K484" s="4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</row>
    <row r="485" ht="15.75" customHeight="1">
      <c r="A485" s="19"/>
      <c r="B485" s="24" t="s">
        <v>6</v>
      </c>
      <c r="C485" s="25" t="s">
        <v>7</v>
      </c>
      <c r="D485" s="43" t="s">
        <v>8</v>
      </c>
      <c r="E485" s="43" t="s">
        <v>108</v>
      </c>
      <c r="F485" s="43" t="s">
        <v>9</v>
      </c>
      <c r="G485" s="26"/>
      <c r="H485" s="27"/>
      <c r="I485" s="130" t="s">
        <v>14</v>
      </c>
      <c r="J485" s="4"/>
      <c r="K485" s="4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</row>
    <row r="486" ht="15.75" customHeight="1">
      <c r="A486" s="19"/>
      <c r="B486" s="143" t="s">
        <v>245</v>
      </c>
      <c r="C486" s="93"/>
      <c r="D486" s="144">
        <v>22.3</v>
      </c>
      <c r="E486" s="33"/>
      <c r="F486" s="111">
        <v>0.8</v>
      </c>
      <c r="G486" s="145"/>
      <c r="H486" s="93"/>
      <c r="I486" s="92">
        <f t="shared" ref="I486:I487" si="37">D486*F486</f>
        <v>17.84</v>
      </c>
      <c r="J486" s="4"/>
      <c r="K486" s="4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</row>
    <row r="487" ht="15.75" customHeight="1">
      <c r="A487" s="19"/>
      <c r="B487" s="143" t="s">
        <v>245</v>
      </c>
      <c r="C487" s="93"/>
      <c r="D487" s="144">
        <v>9.55</v>
      </c>
      <c r="E487" s="33"/>
      <c r="F487" s="111">
        <v>0.8</v>
      </c>
      <c r="G487" s="145"/>
      <c r="H487" s="93"/>
      <c r="I487" s="146">
        <f t="shared" si="37"/>
        <v>7.64</v>
      </c>
      <c r="J487" s="4"/>
      <c r="K487" s="4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</row>
    <row r="488" ht="15.75" customHeight="1">
      <c r="A488" s="19"/>
      <c r="B488" s="82" t="s">
        <v>73</v>
      </c>
      <c r="C488" s="39"/>
      <c r="D488" s="39"/>
      <c r="E488" s="39"/>
      <c r="F488" s="39"/>
      <c r="G488" s="39"/>
      <c r="H488" s="39"/>
      <c r="I488" s="41">
        <f>SUM(I486:I487)</f>
        <v>25.48</v>
      </c>
      <c r="J488" s="4"/>
      <c r="K488" s="4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</row>
    <row r="489" ht="15.75" customHeight="1">
      <c r="A489" s="19"/>
      <c r="B489" s="56"/>
      <c r="C489" s="90"/>
      <c r="D489" s="90"/>
      <c r="E489" s="90"/>
      <c r="F489" s="90"/>
      <c r="G489" s="91"/>
      <c r="H489" s="90"/>
      <c r="I489" s="90"/>
      <c r="J489" s="4"/>
      <c r="K489" s="4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</row>
    <row r="490" ht="15.75" customHeight="1">
      <c r="A490" s="140" t="s">
        <v>248</v>
      </c>
      <c r="B490" s="18" t="s">
        <v>249</v>
      </c>
      <c r="C490" s="15"/>
      <c r="D490" s="15"/>
      <c r="E490" s="15"/>
      <c r="F490" s="15"/>
      <c r="G490" s="16"/>
      <c r="H490" s="15"/>
      <c r="I490" s="15"/>
      <c r="J490" s="4"/>
      <c r="K490" s="4"/>
      <c r="L490" s="78"/>
      <c r="M490" s="78"/>
      <c r="N490" s="78"/>
      <c r="O490" s="78"/>
      <c r="P490" s="78"/>
      <c r="Q490" s="78"/>
      <c r="R490" s="78"/>
      <c r="S490" s="78"/>
      <c r="T490" s="5"/>
      <c r="U490" s="5"/>
      <c r="V490" s="5"/>
      <c r="W490" s="5"/>
      <c r="X490" s="5"/>
      <c r="Y490" s="5"/>
      <c r="Z490" s="5"/>
    </row>
    <row r="491" ht="15.75" customHeight="1">
      <c r="A491" s="19"/>
      <c r="B491" s="20"/>
      <c r="C491" s="15"/>
      <c r="D491" s="15"/>
      <c r="E491" s="15"/>
      <c r="F491" s="15"/>
      <c r="G491" s="16"/>
      <c r="H491" s="15"/>
      <c r="I491" s="15"/>
      <c r="J491" s="4"/>
      <c r="K491" s="4"/>
      <c r="L491" s="78"/>
      <c r="M491" s="78"/>
      <c r="N491" s="78"/>
      <c r="O491" s="78"/>
      <c r="P491" s="78"/>
      <c r="Q491" s="78"/>
      <c r="R491" s="78"/>
      <c r="S491" s="78"/>
      <c r="T491" s="5"/>
      <c r="U491" s="5"/>
      <c r="V491" s="5"/>
      <c r="W491" s="5"/>
      <c r="X491" s="5"/>
      <c r="Y491" s="5"/>
      <c r="Z491" s="5"/>
    </row>
    <row r="492" ht="15.75" customHeight="1">
      <c r="A492" s="17" t="s">
        <v>250</v>
      </c>
      <c r="B492" s="42" t="s">
        <v>251</v>
      </c>
      <c r="J492" s="56"/>
      <c r="K492" s="56"/>
      <c r="L492" s="78"/>
      <c r="M492" s="78"/>
      <c r="N492" s="78"/>
      <c r="O492" s="78"/>
      <c r="P492" s="78"/>
      <c r="Q492" s="78"/>
      <c r="R492" s="78"/>
      <c r="S492" s="78"/>
      <c r="T492" s="147"/>
      <c r="U492" s="147"/>
      <c r="V492" s="147"/>
      <c r="W492" s="147"/>
      <c r="X492" s="147"/>
      <c r="Y492" s="147"/>
      <c r="Z492" s="147"/>
    </row>
    <row r="493" ht="15.75" customHeight="1">
      <c r="A493" s="12"/>
      <c r="B493" s="20"/>
      <c r="C493" s="15"/>
      <c r="D493" s="15"/>
      <c r="E493" s="15"/>
      <c r="F493" s="15"/>
      <c r="G493" s="16"/>
      <c r="H493" s="15"/>
      <c r="I493" s="15"/>
      <c r="J493" s="4"/>
      <c r="K493" s="4"/>
      <c r="L493" s="78"/>
      <c r="M493" s="78"/>
      <c r="N493" s="78"/>
      <c r="O493" s="78"/>
      <c r="P493" s="78"/>
      <c r="Q493" s="78"/>
      <c r="R493" s="78"/>
      <c r="S493" s="78"/>
      <c r="T493" s="5"/>
      <c r="U493" s="5"/>
      <c r="V493" s="5"/>
      <c r="W493" s="5"/>
      <c r="X493" s="5"/>
      <c r="Y493" s="5"/>
      <c r="Z493" s="5"/>
    </row>
    <row r="494" ht="15.0" customHeight="1">
      <c r="A494" s="148"/>
      <c r="B494" s="149" t="s">
        <v>6</v>
      </c>
      <c r="C494" s="43" t="s">
        <v>96</v>
      </c>
      <c r="D494" s="43" t="s">
        <v>10</v>
      </c>
      <c r="E494" s="150" t="s">
        <v>252</v>
      </c>
      <c r="F494" s="151"/>
      <c r="G494" s="152"/>
      <c r="H494" s="153" t="s">
        <v>253</v>
      </c>
      <c r="I494" s="5"/>
      <c r="J494" s="4"/>
      <c r="K494" s="4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</row>
    <row r="495" ht="15.75" customHeight="1">
      <c r="A495" s="148"/>
      <c r="B495" s="154"/>
      <c r="C495" s="33"/>
      <c r="D495" s="33"/>
      <c r="E495" s="33" t="s">
        <v>254</v>
      </c>
      <c r="F495" s="33" t="s">
        <v>255</v>
      </c>
      <c r="G495" s="155" t="s">
        <v>256</v>
      </c>
      <c r="H495" s="156"/>
      <c r="I495" s="5"/>
      <c r="J495" s="4"/>
      <c r="K495" s="4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</row>
    <row r="496" ht="15.75" customHeight="1">
      <c r="A496" s="157"/>
      <c r="B496" s="51" t="s">
        <v>257</v>
      </c>
      <c r="C496" s="158">
        <v>1.95</v>
      </c>
      <c r="D496" s="33">
        <v>0.9</v>
      </c>
      <c r="E496" s="159"/>
      <c r="F496" s="159"/>
      <c r="G496" s="160"/>
      <c r="H496" s="161">
        <f t="shared" ref="H496:H499" si="38">C496*D496-E496-F496-G496</f>
        <v>1.755</v>
      </c>
      <c r="I496" s="162"/>
      <c r="J496" s="66"/>
      <c r="K496" s="66"/>
      <c r="L496" s="163"/>
      <c r="M496" s="163"/>
      <c r="N496" s="163"/>
      <c r="O496" s="163"/>
      <c r="P496" s="163"/>
      <c r="Q496" s="163"/>
      <c r="R496" s="163"/>
      <c r="S496" s="163"/>
      <c r="T496" s="162"/>
      <c r="U496" s="162"/>
      <c r="V496" s="162"/>
      <c r="W496" s="162"/>
      <c r="X496" s="162"/>
      <c r="Y496" s="162"/>
      <c r="Z496" s="162"/>
    </row>
    <row r="497" ht="15.75" customHeight="1">
      <c r="A497" s="157"/>
      <c r="B497" s="51" t="s">
        <v>257</v>
      </c>
      <c r="C497" s="158">
        <f>11.5+11.2</f>
        <v>22.7</v>
      </c>
      <c r="D497" s="33">
        <v>0.9</v>
      </c>
      <c r="E497" s="159"/>
      <c r="F497" s="159"/>
      <c r="G497" s="160"/>
      <c r="H497" s="161">
        <f t="shared" si="38"/>
        <v>20.43</v>
      </c>
      <c r="I497" s="162"/>
      <c r="J497" s="66"/>
      <c r="K497" s="66"/>
      <c r="L497" s="163"/>
      <c r="M497" s="163"/>
      <c r="N497" s="163"/>
      <c r="O497" s="163"/>
      <c r="P497" s="163"/>
      <c r="Q497" s="163"/>
      <c r="R497" s="163"/>
      <c r="S497" s="163"/>
      <c r="T497" s="162"/>
      <c r="U497" s="162"/>
      <c r="V497" s="162"/>
      <c r="W497" s="162"/>
      <c r="X497" s="162"/>
      <c r="Y497" s="162"/>
      <c r="Z497" s="162"/>
    </row>
    <row r="498" ht="15.75" customHeight="1">
      <c r="A498" s="148"/>
      <c r="B498" s="125" t="s">
        <v>258</v>
      </c>
      <c r="C498" s="33">
        <f>5.6+4.3+3.75+3.15+3.15+1.85</f>
        <v>21.8</v>
      </c>
      <c r="D498" s="33">
        <f>2.6+1.3+2.8</f>
        <v>6.7</v>
      </c>
      <c r="E498" s="33"/>
      <c r="F498" s="33"/>
      <c r="G498" s="155">
        <f>1.64*2+2.29*1.78+2.8*2.45+1.87*2.45+2.2*2.45+4*1.5+1.78*4*1.5</f>
        <v>40.8677</v>
      </c>
      <c r="H498" s="161">
        <f t="shared" si="38"/>
        <v>105.1923</v>
      </c>
      <c r="I498" s="5"/>
      <c r="J498" s="4"/>
      <c r="K498" s="4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</row>
    <row r="499" ht="15.75" customHeight="1">
      <c r="A499" s="157"/>
      <c r="B499" s="51" t="s">
        <v>259</v>
      </c>
      <c r="C499" s="158">
        <f>5.6+4.3+0.5+1.62</f>
        <v>12.02</v>
      </c>
      <c r="D499" s="144">
        <v>6.7</v>
      </c>
      <c r="E499" s="159"/>
      <c r="F499" s="159"/>
      <c r="G499" s="160"/>
      <c r="H499" s="161">
        <f t="shared" si="38"/>
        <v>80.534</v>
      </c>
      <c r="I499" s="162"/>
      <c r="J499" s="66"/>
      <c r="K499" s="66"/>
      <c r="L499" s="163"/>
      <c r="M499" s="163"/>
      <c r="N499" s="163"/>
      <c r="O499" s="163"/>
      <c r="P499" s="163"/>
      <c r="Q499" s="163"/>
      <c r="R499" s="163"/>
      <c r="S499" s="163"/>
      <c r="T499" s="162"/>
      <c r="U499" s="162"/>
      <c r="V499" s="162"/>
      <c r="W499" s="162"/>
      <c r="X499" s="162"/>
      <c r="Y499" s="162"/>
      <c r="Z499" s="162"/>
    </row>
    <row r="500" ht="15.75" customHeight="1">
      <c r="A500" s="19"/>
      <c r="B500" s="38" t="s">
        <v>260</v>
      </c>
      <c r="C500" s="39"/>
      <c r="D500" s="39"/>
      <c r="E500" s="39"/>
      <c r="F500" s="39"/>
      <c r="G500" s="40"/>
      <c r="H500" s="41">
        <f>SUM(H496:H499)</f>
        <v>207.9113</v>
      </c>
      <c r="I500" s="5"/>
      <c r="J500" s="4"/>
      <c r="K500" s="4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</row>
    <row r="501" ht="15.75" customHeight="1">
      <c r="A501" s="148"/>
      <c r="B501" s="56"/>
      <c r="C501" s="90"/>
      <c r="D501" s="90"/>
      <c r="E501" s="90"/>
      <c r="F501" s="90"/>
      <c r="G501" s="16"/>
      <c r="H501" s="15"/>
      <c r="I501" s="15"/>
      <c r="J501" s="4"/>
      <c r="K501" s="4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</row>
    <row r="502" ht="15.0" customHeight="1">
      <c r="A502" s="17" t="s">
        <v>261</v>
      </c>
      <c r="B502" s="88" t="s">
        <v>262</v>
      </c>
      <c r="C502" s="89"/>
      <c r="D502" s="90"/>
      <c r="E502" s="89"/>
      <c r="F502" s="56"/>
      <c r="G502" s="91"/>
      <c r="H502" s="56"/>
      <c r="I502" s="90"/>
      <c r="J502" s="4"/>
      <c r="K502" s="4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</row>
    <row r="503" ht="15.75" customHeight="1">
      <c r="A503" s="12"/>
      <c r="B503" s="20"/>
      <c r="C503" s="15"/>
      <c r="D503" s="15"/>
      <c r="E503" s="15"/>
      <c r="F503" s="15"/>
      <c r="G503" s="16"/>
      <c r="H503" s="15"/>
      <c r="I503" s="15"/>
      <c r="J503" s="4"/>
      <c r="K503" s="4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</row>
    <row r="504" ht="15.75" customHeight="1">
      <c r="A504" s="19"/>
      <c r="B504" s="24" t="s">
        <v>6</v>
      </c>
      <c r="C504" s="25" t="s">
        <v>7</v>
      </c>
      <c r="D504" s="43" t="s">
        <v>8</v>
      </c>
      <c r="E504" s="43" t="s">
        <v>108</v>
      </c>
      <c r="F504" s="43" t="s">
        <v>9</v>
      </c>
      <c r="G504" s="26"/>
      <c r="H504" s="27"/>
      <c r="I504" s="85" t="s">
        <v>208</v>
      </c>
      <c r="J504" s="15"/>
      <c r="K504" s="15"/>
      <c r="L504" s="78"/>
      <c r="M504" s="78"/>
      <c r="N504" s="78"/>
      <c r="O504" s="78"/>
      <c r="P504" s="78"/>
      <c r="Q504" s="78"/>
      <c r="R504" s="78"/>
      <c r="S504" s="78"/>
      <c r="T504" s="78"/>
      <c r="U504" s="78"/>
      <c r="V504" s="78"/>
      <c r="W504" s="78"/>
      <c r="X504" s="78"/>
      <c r="Y504" s="78"/>
      <c r="Z504" s="78"/>
    </row>
    <row r="505" ht="15.75" customHeight="1">
      <c r="A505" s="19"/>
      <c r="B505" s="125" t="s">
        <v>258</v>
      </c>
      <c r="C505" s="33">
        <f>5.6+4.3+3.75+3.15+3.15+1.85</f>
        <v>21.8</v>
      </c>
      <c r="D505" s="33"/>
      <c r="E505" s="52"/>
      <c r="F505" s="71"/>
      <c r="G505" s="53"/>
      <c r="H505" s="54"/>
      <c r="I505" s="55">
        <f t="shared" ref="I505:I506" si="39">C505</f>
        <v>21.8</v>
      </c>
      <c r="J505" s="15"/>
      <c r="K505" s="15"/>
      <c r="L505" s="78"/>
      <c r="M505" s="78"/>
      <c r="N505" s="78"/>
      <c r="O505" s="78"/>
      <c r="P505" s="78"/>
      <c r="Q505" s="78"/>
      <c r="R505" s="78"/>
      <c r="S505" s="78"/>
      <c r="T505" s="78"/>
      <c r="U505" s="78"/>
      <c r="V505" s="78"/>
      <c r="W505" s="78"/>
      <c r="X505" s="78"/>
      <c r="Y505" s="78"/>
      <c r="Z505" s="78"/>
    </row>
    <row r="506" ht="15.75" customHeight="1">
      <c r="A506" s="19"/>
      <c r="B506" s="51" t="s">
        <v>259</v>
      </c>
      <c r="C506" s="158">
        <f>5.6+4.3+0.5+1.62</f>
        <v>12.02</v>
      </c>
      <c r="D506" s="158"/>
      <c r="E506" s="52"/>
      <c r="F506" s="71"/>
      <c r="G506" s="53"/>
      <c r="H506" s="54"/>
      <c r="I506" s="55">
        <f t="shared" si="39"/>
        <v>12.02</v>
      </c>
      <c r="J506" s="15"/>
      <c r="K506" s="15"/>
      <c r="L506" s="78"/>
      <c r="M506" s="78"/>
      <c r="N506" s="78"/>
      <c r="O506" s="78"/>
      <c r="P506" s="78"/>
      <c r="Q506" s="78"/>
      <c r="R506" s="78"/>
      <c r="S506" s="78"/>
      <c r="T506" s="78"/>
      <c r="U506" s="78"/>
      <c r="V506" s="78"/>
      <c r="W506" s="78"/>
      <c r="X506" s="78"/>
      <c r="Y506" s="78"/>
      <c r="Z506" s="78"/>
    </row>
    <row r="507" ht="15.75" customHeight="1">
      <c r="A507" s="19"/>
      <c r="B507" s="38" t="s">
        <v>210</v>
      </c>
      <c r="C507" s="39"/>
      <c r="D507" s="39"/>
      <c r="E507" s="39"/>
      <c r="F507" s="39"/>
      <c r="G507" s="39"/>
      <c r="H507" s="40"/>
      <c r="I507" s="41">
        <f>SUM(I505:I506)</f>
        <v>33.82</v>
      </c>
      <c r="J507" s="4"/>
      <c r="K507" s="4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</row>
    <row r="508" ht="15.75" customHeight="1">
      <c r="A508" s="19"/>
      <c r="B508" s="56"/>
      <c r="C508" s="90"/>
      <c r="D508" s="90"/>
      <c r="E508" s="90"/>
      <c r="F508" s="90"/>
      <c r="G508" s="91"/>
      <c r="H508" s="90"/>
      <c r="I508" s="90"/>
      <c r="J508" s="4"/>
      <c r="K508" s="4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</row>
    <row r="509" ht="15.75" customHeight="1">
      <c r="A509" s="17" t="s">
        <v>263</v>
      </c>
      <c r="B509" s="42" t="s">
        <v>264</v>
      </c>
      <c r="J509" s="56"/>
      <c r="K509" s="56"/>
      <c r="L509" s="78"/>
      <c r="M509" s="78"/>
      <c r="N509" s="78"/>
      <c r="O509" s="78"/>
      <c r="P509" s="78"/>
      <c r="Q509" s="78"/>
      <c r="R509" s="78"/>
      <c r="S509" s="78"/>
      <c r="T509" s="147"/>
      <c r="U509" s="147"/>
      <c r="V509" s="147"/>
      <c r="W509" s="147"/>
      <c r="X509" s="147"/>
      <c r="Y509" s="147"/>
      <c r="Z509" s="147"/>
    </row>
    <row r="510" ht="15.75" customHeight="1">
      <c r="A510" s="12"/>
      <c r="B510" s="20"/>
      <c r="C510" s="15"/>
      <c r="D510" s="15"/>
      <c r="E510" s="15"/>
      <c r="F510" s="15"/>
      <c r="G510" s="16"/>
      <c r="H510" s="15"/>
      <c r="I510" s="15"/>
      <c r="J510" s="4"/>
      <c r="K510" s="4"/>
      <c r="L510" s="78"/>
      <c r="M510" s="78"/>
      <c r="N510" s="78"/>
      <c r="O510" s="78"/>
      <c r="P510" s="78"/>
      <c r="Q510" s="78"/>
      <c r="R510" s="78"/>
      <c r="S510" s="78"/>
      <c r="T510" s="5"/>
      <c r="U510" s="5"/>
      <c r="V510" s="5"/>
      <c r="W510" s="5"/>
      <c r="X510" s="5"/>
      <c r="Y510" s="5"/>
      <c r="Z510" s="5"/>
    </row>
    <row r="511" ht="15.0" customHeight="1">
      <c r="A511" s="148"/>
      <c r="B511" s="149" t="s">
        <v>6</v>
      </c>
      <c r="C511" s="43" t="s">
        <v>96</v>
      </c>
      <c r="D511" s="43" t="s">
        <v>10</v>
      </c>
      <c r="E511" s="150" t="s">
        <v>252</v>
      </c>
      <c r="F511" s="151"/>
      <c r="G511" s="152"/>
      <c r="H511" s="153" t="s">
        <v>253</v>
      </c>
      <c r="I511" s="5"/>
      <c r="J511" s="4"/>
      <c r="K511" s="4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</row>
    <row r="512" ht="15.75" customHeight="1">
      <c r="A512" s="148"/>
      <c r="B512" s="154"/>
      <c r="C512" s="33"/>
      <c r="D512" s="33"/>
      <c r="E512" s="33" t="s">
        <v>254</v>
      </c>
      <c r="F512" s="33" t="s">
        <v>255</v>
      </c>
      <c r="G512" s="155" t="s">
        <v>256</v>
      </c>
      <c r="H512" s="156"/>
      <c r="I512" s="5"/>
      <c r="J512" s="4"/>
      <c r="K512" s="4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</row>
    <row r="513" ht="15.75" customHeight="1">
      <c r="A513" s="148"/>
      <c r="B513" s="164" t="s">
        <v>265</v>
      </c>
      <c r="C513" s="33">
        <v>2.8</v>
      </c>
      <c r="D513" s="33">
        <v>1.8</v>
      </c>
      <c r="E513" s="33"/>
      <c r="F513" s="33"/>
      <c r="G513" s="155"/>
      <c r="H513" s="161">
        <f>C513*D513</f>
        <v>5.04</v>
      </c>
      <c r="I513" s="5"/>
      <c r="J513" s="4"/>
      <c r="K513" s="4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</row>
    <row r="514" ht="15.75" customHeight="1">
      <c r="A514" s="19"/>
      <c r="B514" s="38" t="s">
        <v>260</v>
      </c>
      <c r="C514" s="39"/>
      <c r="D514" s="39"/>
      <c r="E514" s="39"/>
      <c r="F514" s="39"/>
      <c r="G514" s="40"/>
      <c r="H514" s="41">
        <f>SUM(H513)</f>
        <v>5.04</v>
      </c>
      <c r="I514" s="5"/>
      <c r="J514" s="4"/>
      <c r="K514" s="4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</row>
    <row r="515" ht="15.75" customHeight="1">
      <c r="A515" s="148"/>
      <c r="B515" s="56"/>
      <c r="C515" s="90"/>
      <c r="D515" s="90"/>
      <c r="E515" s="90"/>
      <c r="F515" s="90"/>
      <c r="G515" s="16"/>
      <c r="H515" s="15"/>
      <c r="I515" s="15"/>
      <c r="J515" s="4"/>
      <c r="K515" s="4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</row>
    <row r="516" ht="15.75" customHeight="1">
      <c r="A516" s="140" t="s">
        <v>266</v>
      </c>
      <c r="B516" s="18" t="s">
        <v>267</v>
      </c>
      <c r="C516" s="15"/>
      <c r="D516" s="15"/>
      <c r="E516" s="15"/>
      <c r="F516" s="15"/>
      <c r="G516" s="16"/>
      <c r="H516" s="15"/>
      <c r="I516" s="15"/>
      <c r="J516" s="4"/>
      <c r="K516" s="4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</row>
    <row r="517" ht="15.75" customHeight="1">
      <c r="A517" s="19"/>
      <c r="B517" s="20"/>
      <c r="C517" s="15"/>
      <c r="D517" s="15"/>
      <c r="E517" s="15"/>
      <c r="F517" s="15"/>
      <c r="G517" s="16"/>
      <c r="H517" s="15"/>
      <c r="I517" s="15"/>
      <c r="J517" s="4"/>
      <c r="K517" s="4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</row>
    <row r="518" ht="15.75" customHeight="1">
      <c r="A518" s="17" t="s">
        <v>268</v>
      </c>
      <c r="B518" s="88" t="s">
        <v>269</v>
      </c>
      <c r="C518" s="66"/>
      <c r="D518" s="15"/>
      <c r="E518" s="66"/>
      <c r="F518" s="66"/>
      <c r="G518" s="165"/>
      <c r="H518" s="66"/>
      <c r="I518" s="66"/>
      <c r="J518" s="166"/>
      <c r="K518" s="4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</row>
    <row r="519" ht="15.75" customHeight="1">
      <c r="A519" s="12"/>
      <c r="B519" s="67"/>
      <c r="C519" s="66"/>
      <c r="D519" s="15"/>
      <c r="E519" s="66"/>
      <c r="F519" s="66"/>
      <c r="G519" s="165"/>
      <c r="H519" s="15" t="s">
        <v>270</v>
      </c>
      <c r="K519" s="4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</row>
    <row r="520" ht="15.75" customHeight="1">
      <c r="A520" s="19"/>
      <c r="B520" s="24" t="s">
        <v>6</v>
      </c>
      <c r="C520" s="43" t="s">
        <v>7</v>
      </c>
      <c r="D520" s="43" t="s">
        <v>8</v>
      </c>
      <c r="E520" s="43" t="s">
        <v>9</v>
      </c>
      <c r="F520" s="43" t="s">
        <v>10</v>
      </c>
      <c r="G520" s="26" t="s">
        <v>271</v>
      </c>
      <c r="H520" s="43" t="s">
        <v>272</v>
      </c>
      <c r="I520" s="43" t="s">
        <v>273</v>
      </c>
      <c r="J520" s="43" t="s">
        <v>17</v>
      </c>
      <c r="K520" s="85" t="s">
        <v>274</v>
      </c>
      <c r="L520" s="78"/>
      <c r="M520" s="78"/>
      <c r="N520" s="5"/>
      <c r="O520" s="5"/>
      <c r="P520" s="5"/>
      <c r="Q520" s="5"/>
      <c r="R520" s="5"/>
      <c r="S520" s="5"/>
      <c r="T520" s="5"/>
      <c r="U520" s="5"/>
      <c r="V520" s="78"/>
      <c r="W520" s="78"/>
      <c r="X520" s="78"/>
      <c r="Y520" s="78"/>
      <c r="Z520" s="78"/>
    </row>
    <row r="521" ht="15.75" customHeight="1">
      <c r="A521" s="19"/>
      <c r="B521" s="51" t="s">
        <v>275</v>
      </c>
      <c r="C521" s="158"/>
      <c r="D521" s="158"/>
      <c r="E521" s="167"/>
      <c r="F521" s="168"/>
      <c r="G521" s="169"/>
      <c r="H521" s="167"/>
      <c r="I521" s="168"/>
      <c r="J521" s="170"/>
      <c r="K521" s="171">
        <v>45.11</v>
      </c>
      <c r="L521" s="78"/>
      <c r="M521" s="78"/>
      <c r="N521" s="5"/>
      <c r="O521" s="5"/>
      <c r="P521" s="5"/>
      <c r="Q521" s="5"/>
      <c r="R521" s="5"/>
      <c r="S521" s="5"/>
      <c r="T521" s="5"/>
      <c r="U521" s="5"/>
      <c r="V521" s="78"/>
      <c r="W521" s="78"/>
      <c r="X521" s="78"/>
      <c r="Y521" s="78"/>
      <c r="Z521" s="78"/>
    </row>
    <row r="522" ht="15.75" customHeight="1">
      <c r="A522" s="19"/>
      <c r="B522" s="51" t="s">
        <v>276</v>
      </c>
      <c r="C522" s="158"/>
      <c r="D522" s="158"/>
      <c r="E522" s="167"/>
      <c r="F522" s="168"/>
      <c r="G522" s="169"/>
      <c r="H522" s="167"/>
      <c r="I522" s="168"/>
      <c r="J522" s="170"/>
      <c r="K522" s="171">
        <v>45.11</v>
      </c>
      <c r="L522" s="78"/>
      <c r="M522" s="78"/>
      <c r="N522" s="5"/>
      <c r="O522" s="5"/>
      <c r="P522" s="5"/>
      <c r="Q522" s="5"/>
      <c r="R522" s="5"/>
      <c r="S522" s="5"/>
      <c r="T522" s="5"/>
      <c r="U522" s="5"/>
      <c r="V522" s="78"/>
      <c r="W522" s="78"/>
      <c r="X522" s="78"/>
      <c r="Y522" s="78"/>
      <c r="Z522" s="78"/>
    </row>
    <row r="523" ht="15.75" customHeight="1">
      <c r="A523" s="19"/>
      <c r="B523" s="51" t="s">
        <v>277</v>
      </c>
      <c r="C523" s="158"/>
      <c r="D523" s="158"/>
      <c r="E523" s="167"/>
      <c r="F523" s="168"/>
      <c r="G523" s="169"/>
      <c r="H523" s="167"/>
      <c r="I523" s="168"/>
      <c r="J523" s="170"/>
      <c r="K523" s="171">
        <v>142.0</v>
      </c>
      <c r="L523" s="78"/>
      <c r="M523" s="78"/>
      <c r="N523" s="5"/>
      <c r="O523" s="5"/>
      <c r="P523" s="5"/>
      <c r="Q523" s="5"/>
      <c r="R523" s="5"/>
      <c r="S523" s="5"/>
      <c r="T523" s="5"/>
      <c r="U523" s="5"/>
      <c r="V523" s="78"/>
      <c r="W523" s="78"/>
      <c r="X523" s="78"/>
      <c r="Y523" s="78"/>
      <c r="Z523" s="78"/>
    </row>
    <row r="524" ht="15.75" customHeight="1">
      <c r="A524" s="19"/>
      <c r="B524" s="38" t="s">
        <v>27</v>
      </c>
      <c r="C524" s="39"/>
      <c r="D524" s="39"/>
      <c r="E524" s="39"/>
      <c r="F524" s="39"/>
      <c r="G524" s="39"/>
      <c r="H524" s="39"/>
      <c r="I524" s="39"/>
      <c r="J524" s="40"/>
      <c r="K524" s="172">
        <f>SUM(K521:K523)</f>
        <v>232.22</v>
      </c>
      <c r="L524" s="5"/>
      <c r="M524" s="5"/>
      <c r="N524" s="78"/>
      <c r="O524" s="5"/>
      <c r="P524" s="5"/>
      <c r="Q524" s="78"/>
      <c r="R524" s="78"/>
      <c r="S524" s="78"/>
      <c r="T524" s="78"/>
      <c r="U524" s="78"/>
      <c r="V524" s="5"/>
      <c r="W524" s="5"/>
      <c r="X524" s="5"/>
      <c r="Y524" s="5"/>
      <c r="Z524" s="5"/>
    </row>
    <row r="525" ht="15.75" customHeight="1">
      <c r="A525" s="19"/>
      <c r="B525" s="56"/>
      <c r="C525" s="90"/>
      <c r="D525" s="90"/>
      <c r="E525" s="90"/>
      <c r="F525" s="90"/>
      <c r="G525" s="91"/>
      <c r="H525" s="90"/>
      <c r="I525" s="90"/>
      <c r="J525" s="4"/>
      <c r="K525" s="4"/>
      <c r="L525" s="5"/>
      <c r="M525" s="5"/>
      <c r="N525" s="78"/>
      <c r="O525" s="5"/>
      <c r="P525" s="5"/>
      <c r="Q525" s="78"/>
      <c r="R525" s="78"/>
      <c r="S525" s="78"/>
      <c r="T525" s="78"/>
      <c r="U525" s="78"/>
      <c r="V525" s="5"/>
      <c r="W525" s="5"/>
      <c r="X525" s="5"/>
      <c r="Y525" s="5"/>
      <c r="Z525" s="5"/>
    </row>
    <row r="526" ht="15.75" customHeight="1">
      <c r="A526" s="17" t="s">
        <v>278</v>
      </c>
      <c r="B526" s="88" t="s">
        <v>279</v>
      </c>
      <c r="C526" s="66"/>
      <c r="D526" s="15"/>
      <c r="E526" s="66"/>
      <c r="F526" s="66"/>
      <c r="G526" s="165"/>
      <c r="H526" s="66"/>
      <c r="I526" s="66"/>
      <c r="J526" s="166"/>
      <c r="K526" s="4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</row>
    <row r="527" ht="15.75" customHeight="1">
      <c r="A527" s="12"/>
      <c r="B527" s="67"/>
      <c r="C527" s="66"/>
      <c r="D527" s="15"/>
      <c r="E527" s="66"/>
      <c r="F527" s="66"/>
      <c r="G527" s="165"/>
      <c r="H527" s="15" t="s">
        <v>270</v>
      </c>
      <c r="K527" s="4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</row>
    <row r="528" ht="15.75" customHeight="1">
      <c r="A528" s="19"/>
      <c r="B528" s="24" t="s">
        <v>6</v>
      </c>
      <c r="C528" s="43" t="s">
        <v>7</v>
      </c>
      <c r="D528" s="43" t="s">
        <v>8</v>
      </c>
      <c r="E528" s="43" t="s">
        <v>9</v>
      </c>
      <c r="F528" s="43" t="s">
        <v>10</v>
      </c>
      <c r="G528" s="26" t="s">
        <v>271</v>
      </c>
      <c r="H528" s="43" t="s">
        <v>272</v>
      </c>
      <c r="I528" s="43" t="s">
        <v>273</v>
      </c>
      <c r="J528" s="43" t="s">
        <v>17</v>
      </c>
      <c r="K528" s="85" t="s">
        <v>274</v>
      </c>
      <c r="L528" s="78"/>
      <c r="M528" s="78"/>
      <c r="N528" s="5"/>
      <c r="O528" s="5"/>
      <c r="P528" s="5"/>
      <c r="Q528" s="5"/>
      <c r="R528" s="5"/>
      <c r="S528" s="5"/>
      <c r="T528" s="5"/>
      <c r="U528" s="5"/>
      <c r="V528" s="78"/>
      <c r="W528" s="78"/>
      <c r="X528" s="78"/>
      <c r="Y528" s="78"/>
      <c r="Z528" s="78"/>
    </row>
    <row r="529" ht="15.75" customHeight="1">
      <c r="A529" s="19"/>
      <c r="B529" s="51" t="s">
        <v>280</v>
      </c>
      <c r="C529" s="158"/>
      <c r="D529" s="158">
        <v>46.5</v>
      </c>
      <c r="E529" s="167"/>
      <c r="F529" s="168">
        <f>(4.5+3.93)/2</f>
        <v>4.215</v>
      </c>
      <c r="G529" s="169"/>
      <c r="H529" s="167"/>
      <c r="I529" s="168"/>
      <c r="J529" s="170">
        <f>1.8*2.2+1.83*2.13+1.8*3.64+2.2*2.4+1.87*2.45+2.8*2.3+1.8*2.3+1.76*2.3+1.63*2.3+1.94*1.22</f>
        <v>45.0152</v>
      </c>
      <c r="K529" s="171">
        <f t="shared" ref="K529:K530" si="40">D529*F529-J529</f>
        <v>150.9823</v>
      </c>
      <c r="L529" s="78"/>
      <c r="M529" s="78"/>
      <c r="N529" s="5"/>
      <c r="O529" s="5"/>
      <c r="P529" s="5"/>
      <c r="Q529" s="5"/>
      <c r="R529" s="5"/>
      <c r="S529" s="5"/>
      <c r="T529" s="5"/>
      <c r="U529" s="5"/>
      <c r="V529" s="78"/>
      <c r="W529" s="78"/>
      <c r="X529" s="78"/>
      <c r="Y529" s="78"/>
      <c r="Z529" s="78"/>
    </row>
    <row r="530" ht="15.75" customHeight="1">
      <c r="A530" s="19"/>
      <c r="B530" s="51" t="s">
        <v>281</v>
      </c>
      <c r="C530" s="158"/>
      <c r="D530" s="158">
        <v>45.8</v>
      </c>
      <c r="E530" s="167"/>
      <c r="F530" s="168">
        <v>3.1</v>
      </c>
      <c r="G530" s="169"/>
      <c r="H530" s="167"/>
      <c r="I530" s="168"/>
      <c r="J530" s="170">
        <f>4*1.5+4*1.78*1.5+1.48*1.95+3.25*2.5+1.5*1.5*2</f>
        <v>32.191</v>
      </c>
      <c r="K530" s="171">
        <f t="shared" si="40"/>
        <v>109.789</v>
      </c>
      <c r="L530" s="78"/>
      <c r="M530" s="78"/>
      <c r="N530" s="5"/>
      <c r="O530" s="5"/>
      <c r="P530" s="5"/>
      <c r="Q530" s="5"/>
      <c r="R530" s="5"/>
      <c r="S530" s="5"/>
      <c r="T530" s="5"/>
      <c r="U530" s="5"/>
      <c r="V530" s="78"/>
      <c r="W530" s="78"/>
      <c r="X530" s="78"/>
      <c r="Y530" s="78"/>
      <c r="Z530" s="78"/>
    </row>
    <row r="531" ht="15.75" customHeight="1">
      <c r="A531" s="19"/>
      <c r="B531" s="38" t="s">
        <v>27</v>
      </c>
      <c r="C531" s="39"/>
      <c r="D531" s="39"/>
      <c r="E531" s="39"/>
      <c r="F531" s="39"/>
      <c r="G531" s="39"/>
      <c r="H531" s="39"/>
      <c r="I531" s="39"/>
      <c r="J531" s="40"/>
      <c r="K531" s="172">
        <f>SUM(K529:K530)</f>
        <v>260.7713</v>
      </c>
      <c r="L531" s="5"/>
      <c r="M531" s="5"/>
      <c r="N531" s="78"/>
      <c r="O531" s="5"/>
      <c r="P531" s="5"/>
      <c r="Q531" s="78"/>
      <c r="R531" s="78"/>
      <c r="S531" s="78"/>
      <c r="T531" s="78"/>
      <c r="U531" s="78"/>
      <c r="V531" s="5"/>
      <c r="W531" s="5"/>
      <c r="X531" s="5"/>
      <c r="Y531" s="5"/>
      <c r="Z531" s="5"/>
    </row>
    <row r="532" ht="15.75" customHeight="1">
      <c r="A532" s="19"/>
      <c r="B532" s="56"/>
      <c r="C532" s="90"/>
      <c r="D532" s="90"/>
      <c r="E532" s="90"/>
      <c r="F532" s="90"/>
      <c r="G532" s="91"/>
      <c r="H532" s="90"/>
      <c r="I532" s="90"/>
      <c r="J532" s="4"/>
      <c r="K532" s="4"/>
      <c r="L532" s="5"/>
      <c r="M532" s="5"/>
      <c r="N532" s="78"/>
      <c r="O532" s="5"/>
      <c r="P532" s="5"/>
      <c r="Q532" s="78"/>
      <c r="R532" s="78"/>
      <c r="S532" s="78"/>
      <c r="T532" s="78"/>
      <c r="U532" s="78"/>
      <c r="V532" s="5"/>
      <c r="W532" s="5"/>
      <c r="X532" s="5"/>
      <c r="Y532" s="5"/>
      <c r="Z532" s="5"/>
    </row>
    <row r="533" ht="15.75" customHeight="1">
      <c r="A533" s="17" t="s">
        <v>282</v>
      </c>
      <c r="B533" s="88" t="s">
        <v>283</v>
      </c>
      <c r="C533" s="66"/>
      <c r="D533" s="15"/>
      <c r="E533" s="66"/>
      <c r="F533" s="66"/>
      <c r="G533" s="165"/>
      <c r="H533" s="66"/>
      <c r="I533" s="66"/>
      <c r="J533" s="166"/>
      <c r="K533" s="4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</row>
    <row r="534" ht="15.75" customHeight="1">
      <c r="A534" s="12"/>
      <c r="B534" s="67"/>
      <c r="C534" s="66"/>
      <c r="D534" s="15"/>
      <c r="E534" s="66"/>
      <c r="F534" s="66"/>
      <c r="G534" s="165"/>
      <c r="H534" s="15" t="s">
        <v>270</v>
      </c>
      <c r="K534" s="4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</row>
    <row r="535" ht="15.75" customHeight="1">
      <c r="A535" s="19"/>
      <c r="B535" s="24" t="s">
        <v>6</v>
      </c>
      <c r="C535" s="43" t="s">
        <v>7</v>
      </c>
      <c r="D535" s="43" t="s">
        <v>8</v>
      </c>
      <c r="E535" s="43" t="s">
        <v>9</v>
      </c>
      <c r="F535" s="43" t="s">
        <v>10</v>
      </c>
      <c r="G535" s="26" t="s">
        <v>271</v>
      </c>
      <c r="H535" s="43" t="s">
        <v>272</v>
      </c>
      <c r="I535" s="43" t="s">
        <v>273</v>
      </c>
      <c r="J535" s="43" t="s">
        <v>17</v>
      </c>
      <c r="K535" s="85" t="s">
        <v>274</v>
      </c>
      <c r="L535" s="78"/>
      <c r="M535" s="78"/>
      <c r="N535" s="5"/>
      <c r="O535" s="5"/>
      <c r="P535" s="5"/>
      <c r="Q535" s="5"/>
      <c r="R535" s="5"/>
      <c r="S535" s="5"/>
      <c r="T535" s="5"/>
      <c r="U535" s="5"/>
      <c r="V535" s="78"/>
      <c r="W535" s="78"/>
      <c r="X535" s="78"/>
      <c r="Y535" s="78"/>
      <c r="Z535" s="78"/>
    </row>
    <row r="536" ht="15.75" customHeight="1">
      <c r="A536" s="19"/>
      <c r="B536" s="51" t="s">
        <v>284</v>
      </c>
      <c r="C536" s="158"/>
      <c r="D536" s="158">
        <v>11.3</v>
      </c>
      <c r="E536" s="167"/>
      <c r="F536" s="168">
        <v>8.36</v>
      </c>
      <c r="G536" s="169"/>
      <c r="H536" s="167"/>
      <c r="I536" s="168"/>
      <c r="J536" s="168">
        <f>1.8*2.8+1.53*2.13+3.64*1.7</f>
        <v>14.4869</v>
      </c>
      <c r="K536" s="171">
        <f t="shared" ref="K536:K538" si="41">D536*F536-J536</f>
        <v>79.9811</v>
      </c>
      <c r="L536" s="78"/>
      <c r="M536" s="78"/>
      <c r="N536" s="5"/>
      <c r="O536" s="5"/>
      <c r="P536" s="5"/>
      <c r="Q536" s="5"/>
      <c r="R536" s="5"/>
      <c r="S536" s="5"/>
      <c r="T536" s="5"/>
      <c r="U536" s="5"/>
      <c r="V536" s="78"/>
      <c r="W536" s="78"/>
      <c r="X536" s="78"/>
      <c r="Y536" s="78"/>
      <c r="Z536" s="78"/>
    </row>
    <row r="537" ht="15.75" customHeight="1">
      <c r="A537" s="19"/>
      <c r="B537" s="51" t="s">
        <v>284</v>
      </c>
      <c r="C537" s="158"/>
      <c r="D537" s="158">
        <v>21.75</v>
      </c>
      <c r="E537" s="167"/>
      <c r="F537" s="168">
        <v>8.8</v>
      </c>
      <c r="G537" s="169"/>
      <c r="H537" s="167"/>
      <c r="I537" s="168"/>
      <c r="J537" s="168">
        <f>4*1.5+1.78*1.5*4+1.22*1.94+1.63*1.8*2.3*2+2.8*2.3+1.9*2.3+2.2*2.5</f>
        <v>48.8532</v>
      </c>
      <c r="K537" s="171">
        <f t="shared" si="41"/>
        <v>142.5468</v>
      </c>
      <c r="L537" s="78"/>
      <c r="M537" s="78"/>
      <c r="N537" s="5"/>
      <c r="O537" s="5"/>
      <c r="P537" s="5"/>
      <c r="Q537" s="5"/>
      <c r="R537" s="5"/>
      <c r="S537" s="5"/>
      <c r="T537" s="5"/>
      <c r="U537" s="5"/>
      <c r="V537" s="78"/>
      <c r="W537" s="78"/>
      <c r="X537" s="78"/>
      <c r="Y537" s="78"/>
      <c r="Z537" s="78"/>
    </row>
    <row r="538" ht="15.75" customHeight="1">
      <c r="A538" s="19"/>
      <c r="B538" s="51" t="s">
        <v>285</v>
      </c>
      <c r="C538" s="158"/>
      <c r="D538" s="158">
        <v>2.3</v>
      </c>
      <c r="E538" s="167"/>
      <c r="F538" s="168">
        <v>5.8</v>
      </c>
      <c r="G538" s="169"/>
      <c r="H538" s="167"/>
      <c r="I538" s="168"/>
      <c r="J538" s="168">
        <f>1.93*1.5</f>
        <v>2.895</v>
      </c>
      <c r="K538" s="171">
        <f t="shared" si="41"/>
        <v>10.445</v>
      </c>
      <c r="L538" s="78"/>
      <c r="M538" s="78"/>
      <c r="N538" s="5"/>
      <c r="O538" s="5"/>
      <c r="P538" s="5"/>
      <c r="Q538" s="5"/>
      <c r="R538" s="5"/>
      <c r="S538" s="5"/>
      <c r="T538" s="5"/>
      <c r="U538" s="5"/>
      <c r="V538" s="78"/>
      <c r="W538" s="78"/>
      <c r="X538" s="78"/>
      <c r="Y538" s="78"/>
      <c r="Z538" s="78"/>
    </row>
    <row r="539" ht="15.75" customHeight="1">
      <c r="A539" s="19"/>
      <c r="B539" s="51" t="s">
        <v>286</v>
      </c>
      <c r="C539" s="158"/>
      <c r="D539" s="158"/>
      <c r="E539" s="167"/>
      <c r="F539" s="168"/>
      <c r="G539" s="169"/>
      <c r="H539" s="167"/>
      <c r="I539" s="168"/>
      <c r="J539" s="167"/>
      <c r="K539" s="171">
        <v>31.8</v>
      </c>
      <c r="L539" s="78"/>
      <c r="M539" s="78"/>
      <c r="N539" s="5"/>
      <c r="O539" s="5"/>
      <c r="P539" s="5"/>
      <c r="Q539" s="5"/>
      <c r="R539" s="5"/>
      <c r="S539" s="5"/>
      <c r="T539" s="5"/>
      <c r="U539" s="5"/>
      <c r="V539" s="78"/>
      <c r="W539" s="78"/>
      <c r="X539" s="78"/>
      <c r="Y539" s="78"/>
      <c r="Z539" s="78"/>
    </row>
    <row r="540" ht="15.75" customHeight="1">
      <c r="A540" s="19"/>
      <c r="B540" s="51" t="s">
        <v>287</v>
      </c>
      <c r="C540" s="158"/>
      <c r="D540" s="158"/>
      <c r="E540" s="167"/>
      <c r="F540" s="168"/>
      <c r="G540" s="169"/>
      <c r="H540" s="167"/>
      <c r="I540" s="168"/>
      <c r="J540" s="167"/>
      <c r="K540" s="171">
        <v>8.8</v>
      </c>
      <c r="L540" s="78"/>
      <c r="M540" s="78"/>
      <c r="N540" s="5"/>
      <c r="O540" s="5"/>
      <c r="P540" s="5"/>
      <c r="Q540" s="5"/>
      <c r="R540" s="5"/>
      <c r="S540" s="5"/>
      <c r="T540" s="5"/>
      <c r="U540" s="5"/>
      <c r="V540" s="78"/>
      <c r="W540" s="78"/>
      <c r="X540" s="78"/>
      <c r="Y540" s="78"/>
      <c r="Z540" s="78"/>
    </row>
    <row r="541" ht="15.75" customHeight="1">
      <c r="A541" s="19"/>
      <c r="B541" s="51" t="s">
        <v>288</v>
      </c>
      <c r="C541" s="158"/>
      <c r="D541" s="158"/>
      <c r="E541" s="167"/>
      <c r="F541" s="168"/>
      <c r="G541" s="169"/>
      <c r="H541" s="167"/>
      <c r="I541" s="168"/>
      <c r="J541" s="167"/>
      <c r="K541" s="171">
        <v>32.1</v>
      </c>
      <c r="L541" s="78"/>
      <c r="M541" s="78"/>
      <c r="N541" s="5"/>
      <c r="O541" s="5"/>
      <c r="P541" s="5"/>
      <c r="Q541" s="5"/>
      <c r="R541" s="5"/>
      <c r="S541" s="5"/>
      <c r="T541" s="5"/>
      <c r="U541" s="5"/>
      <c r="V541" s="78"/>
      <c r="W541" s="78"/>
      <c r="X541" s="78"/>
      <c r="Y541" s="78"/>
      <c r="Z541" s="78"/>
    </row>
    <row r="542" ht="15.75" customHeight="1">
      <c r="A542" s="19"/>
      <c r="B542" s="38" t="s">
        <v>27</v>
      </c>
      <c r="C542" s="39"/>
      <c r="D542" s="39"/>
      <c r="E542" s="39"/>
      <c r="F542" s="39"/>
      <c r="G542" s="39"/>
      <c r="H542" s="39"/>
      <c r="I542" s="39"/>
      <c r="J542" s="40"/>
      <c r="K542" s="172">
        <f>SUM(K536:K541)</f>
        <v>305.6729</v>
      </c>
      <c r="L542" s="5"/>
      <c r="M542" s="5"/>
      <c r="N542" s="78"/>
      <c r="O542" s="5"/>
      <c r="P542" s="5"/>
      <c r="Q542" s="78"/>
      <c r="R542" s="78"/>
      <c r="S542" s="78"/>
      <c r="T542" s="78"/>
      <c r="U542" s="78"/>
      <c r="V542" s="5"/>
      <c r="W542" s="5"/>
      <c r="X542" s="5"/>
      <c r="Y542" s="5"/>
      <c r="Z542" s="5"/>
    </row>
    <row r="543" ht="15.75" customHeight="1">
      <c r="A543" s="19"/>
      <c r="B543" s="56"/>
      <c r="C543" s="90"/>
      <c r="D543" s="90"/>
      <c r="E543" s="90"/>
      <c r="F543" s="90"/>
      <c r="G543" s="91"/>
      <c r="H543" s="90"/>
      <c r="I543" s="90"/>
      <c r="J543" s="4"/>
      <c r="K543" s="4"/>
      <c r="L543" s="5"/>
      <c r="M543" s="5"/>
      <c r="N543" s="78"/>
      <c r="O543" s="5"/>
      <c r="P543" s="5"/>
      <c r="Q543" s="78"/>
      <c r="R543" s="78"/>
      <c r="S543" s="78"/>
      <c r="T543" s="78"/>
      <c r="U543" s="78"/>
      <c r="V543" s="5"/>
      <c r="W543" s="5"/>
      <c r="X543" s="5"/>
      <c r="Y543" s="5"/>
      <c r="Z543" s="5"/>
    </row>
    <row r="544" ht="15.75" customHeight="1">
      <c r="A544" s="17" t="s">
        <v>289</v>
      </c>
      <c r="B544" s="88" t="s">
        <v>290</v>
      </c>
      <c r="C544" s="66"/>
      <c r="D544" s="15"/>
      <c r="E544" s="66"/>
      <c r="F544" s="66"/>
      <c r="G544" s="165"/>
      <c r="H544" s="66"/>
      <c r="I544" s="66"/>
      <c r="J544" s="166"/>
      <c r="K544" s="4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</row>
    <row r="545" ht="15.75" customHeight="1">
      <c r="A545" s="12"/>
      <c r="B545" s="67"/>
      <c r="C545" s="66"/>
      <c r="D545" s="15"/>
      <c r="E545" s="66"/>
      <c r="F545" s="66"/>
      <c r="G545" s="165"/>
      <c r="H545" s="15" t="s">
        <v>270</v>
      </c>
      <c r="K545" s="4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</row>
    <row r="546" ht="15.75" customHeight="1">
      <c r="A546" s="19"/>
      <c r="B546" s="24" t="s">
        <v>6</v>
      </c>
      <c r="C546" s="43" t="s">
        <v>7</v>
      </c>
      <c r="D546" s="43" t="s">
        <v>8</v>
      </c>
      <c r="E546" s="43" t="s">
        <v>9</v>
      </c>
      <c r="F546" s="43" t="s">
        <v>10</v>
      </c>
      <c r="G546" s="26" t="s">
        <v>271</v>
      </c>
      <c r="H546" s="43" t="s">
        <v>272</v>
      </c>
      <c r="I546" s="43" t="s">
        <v>273</v>
      </c>
      <c r="J546" s="43" t="s">
        <v>17</v>
      </c>
      <c r="K546" s="85" t="s">
        <v>274</v>
      </c>
      <c r="L546" s="78"/>
      <c r="M546" s="78"/>
      <c r="N546" s="5"/>
      <c r="O546" s="5"/>
      <c r="P546" s="5"/>
      <c r="Q546" s="5"/>
      <c r="R546" s="5"/>
      <c r="S546" s="5"/>
      <c r="T546" s="5"/>
      <c r="U546" s="5"/>
      <c r="V546" s="78"/>
      <c r="W546" s="78"/>
      <c r="X546" s="78"/>
      <c r="Y546" s="78"/>
      <c r="Z546" s="78"/>
    </row>
    <row r="547" ht="15.75" customHeight="1">
      <c r="A547" s="19"/>
      <c r="B547" s="51" t="s">
        <v>280</v>
      </c>
      <c r="C547" s="158"/>
      <c r="D547" s="158"/>
      <c r="E547" s="167"/>
      <c r="F547" s="168"/>
      <c r="G547" s="169"/>
      <c r="H547" s="167"/>
      <c r="I547" s="168"/>
      <c r="J547" s="170"/>
      <c r="K547" s="171">
        <v>45.11</v>
      </c>
      <c r="L547" s="78"/>
      <c r="M547" s="78"/>
      <c r="N547" s="5"/>
      <c r="O547" s="5"/>
      <c r="P547" s="5"/>
      <c r="Q547" s="5"/>
      <c r="R547" s="5"/>
      <c r="S547" s="5"/>
      <c r="T547" s="5"/>
      <c r="U547" s="5"/>
      <c r="V547" s="78"/>
      <c r="W547" s="78"/>
      <c r="X547" s="78"/>
      <c r="Y547" s="78"/>
      <c r="Z547" s="78"/>
    </row>
    <row r="548" ht="15.75" customHeight="1">
      <c r="A548" s="19"/>
      <c r="B548" s="51" t="s">
        <v>281</v>
      </c>
      <c r="C548" s="158"/>
      <c r="D548" s="158"/>
      <c r="E548" s="167"/>
      <c r="F548" s="168"/>
      <c r="G548" s="169"/>
      <c r="H548" s="167"/>
      <c r="I548" s="168"/>
      <c r="J548" s="170"/>
      <c r="K548" s="171">
        <v>45.11</v>
      </c>
      <c r="L548" s="78"/>
      <c r="M548" s="78"/>
      <c r="N548" s="5"/>
      <c r="O548" s="5"/>
      <c r="P548" s="5"/>
      <c r="Q548" s="5"/>
      <c r="R548" s="5"/>
      <c r="S548" s="5"/>
      <c r="T548" s="5"/>
      <c r="U548" s="5"/>
      <c r="V548" s="78"/>
      <c r="W548" s="78"/>
      <c r="X548" s="78"/>
      <c r="Y548" s="78"/>
      <c r="Z548" s="78"/>
    </row>
    <row r="549" ht="15.75" customHeight="1">
      <c r="A549" s="19"/>
      <c r="B549" s="51" t="s">
        <v>277</v>
      </c>
      <c r="C549" s="158"/>
      <c r="D549" s="158"/>
      <c r="E549" s="167"/>
      <c r="F549" s="168"/>
      <c r="G549" s="169"/>
      <c r="H549" s="167"/>
      <c r="I549" s="168"/>
      <c r="J549" s="170"/>
      <c r="K549" s="171">
        <v>142.0</v>
      </c>
      <c r="L549" s="78"/>
      <c r="M549" s="78"/>
      <c r="N549" s="5"/>
      <c r="O549" s="5"/>
      <c r="P549" s="5"/>
      <c r="Q549" s="5"/>
      <c r="R549" s="5"/>
      <c r="S549" s="5"/>
      <c r="T549" s="5"/>
      <c r="U549" s="5"/>
      <c r="V549" s="78"/>
      <c r="W549" s="78"/>
      <c r="X549" s="78"/>
      <c r="Y549" s="78"/>
      <c r="Z549" s="78"/>
    </row>
    <row r="550" ht="15.75" customHeight="1">
      <c r="A550" s="19"/>
      <c r="B550" s="38" t="s">
        <v>27</v>
      </c>
      <c r="C550" s="39"/>
      <c r="D550" s="39"/>
      <c r="E550" s="39"/>
      <c r="F550" s="39"/>
      <c r="G550" s="39"/>
      <c r="H550" s="39"/>
      <c r="I550" s="39"/>
      <c r="J550" s="40"/>
      <c r="K550" s="172">
        <f>SUM(K547:K549)</f>
        <v>232.22</v>
      </c>
      <c r="L550" s="5"/>
      <c r="M550" s="5"/>
      <c r="N550" s="78"/>
      <c r="O550" s="5"/>
      <c r="P550" s="5"/>
      <c r="Q550" s="78"/>
      <c r="R550" s="78"/>
      <c r="S550" s="78"/>
      <c r="T550" s="78"/>
      <c r="U550" s="78"/>
      <c r="V550" s="5"/>
      <c r="W550" s="5"/>
      <c r="X550" s="5"/>
      <c r="Y550" s="5"/>
      <c r="Z550" s="5"/>
    </row>
    <row r="551" ht="15.75" customHeight="1">
      <c r="A551" s="19"/>
      <c r="B551" s="56"/>
      <c r="C551" s="90"/>
      <c r="D551" s="90"/>
      <c r="E551" s="90"/>
      <c r="F551" s="90"/>
      <c r="G551" s="91"/>
      <c r="H551" s="90"/>
      <c r="I551" s="90"/>
      <c r="J551" s="4"/>
      <c r="K551" s="4"/>
      <c r="L551" s="5"/>
      <c r="M551" s="5"/>
      <c r="N551" s="78"/>
      <c r="O551" s="5"/>
      <c r="P551" s="5"/>
      <c r="Q551" s="78"/>
      <c r="R551" s="78"/>
      <c r="S551" s="78"/>
      <c r="T551" s="78"/>
      <c r="U551" s="78"/>
      <c r="V551" s="5"/>
      <c r="W551" s="5"/>
      <c r="X551" s="5"/>
      <c r="Y551" s="5"/>
      <c r="Z551" s="5"/>
    </row>
    <row r="552" ht="15.75" customHeight="1">
      <c r="A552" s="17" t="s">
        <v>291</v>
      </c>
      <c r="B552" s="88" t="s">
        <v>292</v>
      </c>
      <c r="C552" s="66"/>
      <c r="D552" s="15"/>
      <c r="E552" s="66"/>
      <c r="F552" s="66"/>
      <c r="G552" s="165"/>
      <c r="H552" s="66"/>
      <c r="I552" s="66"/>
      <c r="J552" s="166"/>
      <c r="K552" s="4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</row>
    <row r="553" ht="15.75" customHeight="1">
      <c r="A553" s="12"/>
      <c r="B553" s="67"/>
      <c r="C553" s="66"/>
      <c r="D553" s="15"/>
      <c r="E553" s="66"/>
      <c r="F553" s="66"/>
      <c r="G553" s="165"/>
      <c r="H553" s="15" t="s">
        <v>270</v>
      </c>
      <c r="K553" s="4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</row>
    <row r="554" ht="15.75" customHeight="1">
      <c r="A554" s="19"/>
      <c r="B554" s="24" t="s">
        <v>6</v>
      </c>
      <c r="C554" s="43" t="s">
        <v>7</v>
      </c>
      <c r="D554" s="43" t="s">
        <v>8</v>
      </c>
      <c r="E554" s="43" t="s">
        <v>9</v>
      </c>
      <c r="F554" s="43" t="s">
        <v>10</v>
      </c>
      <c r="G554" s="26" t="s">
        <v>271</v>
      </c>
      <c r="H554" s="43" t="s">
        <v>272</v>
      </c>
      <c r="I554" s="43" t="s">
        <v>273</v>
      </c>
      <c r="J554" s="43" t="s">
        <v>17</v>
      </c>
      <c r="K554" s="85" t="s">
        <v>274</v>
      </c>
      <c r="L554" s="78"/>
      <c r="M554" s="78"/>
      <c r="N554" s="5"/>
      <c r="O554" s="5"/>
      <c r="P554" s="5"/>
      <c r="Q554" s="5"/>
      <c r="R554" s="5"/>
      <c r="S554" s="5"/>
      <c r="T554" s="5"/>
      <c r="U554" s="5"/>
      <c r="V554" s="78"/>
      <c r="W554" s="78"/>
      <c r="X554" s="78"/>
      <c r="Y554" s="78"/>
      <c r="Z554" s="78"/>
    </row>
    <row r="555" ht="15.75" customHeight="1">
      <c r="A555" s="19"/>
      <c r="B555" s="51" t="s">
        <v>280</v>
      </c>
      <c r="C555" s="158"/>
      <c r="D555" s="158">
        <v>46.5</v>
      </c>
      <c r="E555" s="167"/>
      <c r="F555" s="168">
        <f>(4.5+3.93)/2</f>
        <v>4.215</v>
      </c>
      <c r="G555" s="169"/>
      <c r="H555" s="167"/>
      <c r="I555" s="168"/>
      <c r="J555" s="170">
        <f>1.8*2.2+1.83*2.13+1.8*3.64+2.2*2.4+1.87*2.45+2.8*2.3+1.8*2.3+1.76*2.3+1.63*2.3+1.94*1.22</f>
        <v>45.0152</v>
      </c>
      <c r="K555" s="171">
        <f t="shared" ref="K555:K556" si="42">D555*F555-J555</f>
        <v>150.9823</v>
      </c>
      <c r="L555" s="78"/>
      <c r="M555" s="78"/>
      <c r="N555" s="5"/>
      <c r="O555" s="5"/>
      <c r="P555" s="5"/>
      <c r="Q555" s="5"/>
      <c r="R555" s="5"/>
      <c r="S555" s="5"/>
      <c r="T555" s="5"/>
      <c r="U555" s="5"/>
      <c r="V555" s="78"/>
      <c r="W555" s="78"/>
      <c r="X555" s="78"/>
      <c r="Y555" s="78"/>
      <c r="Z555" s="78"/>
    </row>
    <row r="556" ht="15.75" customHeight="1">
      <c r="A556" s="19"/>
      <c r="B556" s="51" t="s">
        <v>281</v>
      </c>
      <c r="C556" s="158"/>
      <c r="D556" s="158">
        <v>45.8</v>
      </c>
      <c r="E556" s="167"/>
      <c r="F556" s="168">
        <v>3.1</v>
      </c>
      <c r="G556" s="169"/>
      <c r="H556" s="167"/>
      <c r="I556" s="168"/>
      <c r="J556" s="170">
        <f>4*1.5+4*1.78*1.5+1.48*1.95+3.25*2.5+1.5*1.5*2</f>
        <v>32.191</v>
      </c>
      <c r="K556" s="171">
        <f t="shared" si="42"/>
        <v>109.789</v>
      </c>
      <c r="L556" s="78"/>
      <c r="M556" s="78"/>
      <c r="N556" s="5"/>
      <c r="O556" s="5"/>
      <c r="P556" s="5"/>
      <c r="Q556" s="5"/>
      <c r="R556" s="5"/>
      <c r="S556" s="5"/>
      <c r="T556" s="5"/>
      <c r="U556" s="5"/>
      <c r="V556" s="78"/>
      <c r="W556" s="78"/>
      <c r="X556" s="78"/>
      <c r="Y556" s="78"/>
      <c r="Z556" s="78"/>
    </row>
    <row r="557" ht="15.75" customHeight="1">
      <c r="A557" s="19"/>
      <c r="B557" s="38" t="s">
        <v>27</v>
      </c>
      <c r="C557" s="39"/>
      <c r="D557" s="39"/>
      <c r="E557" s="39"/>
      <c r="F557" s="39"/>
      <c r="G557" s="39"/>
      <c r="H557" s="39"/>
      <c r="I557" s="39"/>
      <c r="J557" s="40"/>
      <c r="K557" s="172">
        <f>SUM(K555:K556)</f>
        <v>260.7713</v>
      </c>
      <c r="L557" s="5"/>
      <c r="M557" s="5"/>
      <c r="N557" s="78"/>
      <c r="O557" s="5"/>
      <c r="P557" s="5"/>
      <c r="Q557" s="78"/>
      <c r="R557" s="78"/>
      <c r="S557" s="78"/>
      <c r="T557" s="78"/>
      <c r="U557" s="78"/>
      <c r="V557" s="5"/>
      <c r="W557" s="5"/>
      <c r="X557" s="5"/>
      <c r="Y557" s="5"/>
      <c r="Z557" s="5"/>
    </row>
    <row r="558" ht="15.75" customHeight="1">
      <c r="A558" s="19"/>
      <c r="B558" s="56"/>
      <c r="C558" s="90"/>
      <c r="D558" s="90"/>
      <c r="E558" s="90"/>
      <c r="F558" s="90"/>
      <c r="G558" s="91"/>
      <c r="H558" s="90"/>
      <c r="I558" s="90"/>
      <c r="J558" s="4"/>
      <c r="K558" s="4"/>
      <c r="L558" s="5"/>
      <c r="M558" s="5"/>
      <c r="N558" s="78"/>
      <c r="O558" s="5"/>
      <c r="P558" s="5"/>
      <c r="Q558" s="78"/>
      <c r="R558" s="78"/>
      <c r="S558" s="78"/>
      <c r="T558" s="78"/>
      <c r="U558" s="78"/>
      <c r="V558" s="5"/>
      <c r="W558" s="5"/>
      <c r="X558" s="5"/>
      <c r="Y558" s="5"/>
      <c r="Z558" s="5"/>
    </row>
    <row r="559" ht="15.75" customHeight="1">
      <c r="A559" s="17" t="s">
        <v>293</v>
      </c>
      <c r="B559" s="88" t="s">
        <v>294</v>
      </c>
      <c r="C559" s="66"/>
      <c r="D559" s="15"/>
      <c r="E559" s="66"/>
      <c r="F559" s="66"/>
      <c r="G559" s="165"/>
      <c r="H559" s="66"/>
      <c r="I559" s="66"/>
      <c r="J559" s="166"/>
      <c r="K559" s="4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</row>
    <row r="560" ht="15.75" customHeight="1">
      <c r="A560" s="12"/>
      <c r="B560" s="67"/>
      <c r="C560" s="66"/>
      <c r="D560" s="15"/>
      <c r="E560" s="66"/>
      <c r="F560" s="66"/>
      <c r="G560" s="165"/>
      <c r="H560" s="15" t="s">
        <v>270</v>
      </c>
      <c r="K560" s="4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</row>
    <row r="561" ht="15.75" customHeight="1">
      <c r="A561" s="19"/>
      <c r="B561" s="24" t="s">
        <v>6</v>
      </c>
      <c r="C561" s="43" t="s">
        <v>7</v>
      </c>
      <c r="D561" s="43" t="s">
        <v>8</v>
      </c>
      <c r="E561" s="43" t="s">
        <v>9</v>
      </c>
      <c r="F561" s="43" t="s">
        <v>10</v>
      </c>
      <c r="G561" s="26" t="s">
        <v>271</v>
      </c>
      <c r="H561" s="43" t="s">
        <v>272</v>
      </c>
      <c r="I561" s="43" t="s">
        <v>273</v>
      </c>
      <c r="J561" s="43" t="s">
        <v>17</v>
      </c>
      <c r="K561" s="85" t="s">
        <v>274</v>
      </c>
      <c r="L561" s="78"/>
      <c r="M561" s="78"/>
      <c r="N561" s="5"/>
      <c r="O561" s="5"/>
      <c r="P561" s="5"/>
      <c r="Q561" s="5"/>
      <c r="R561" s="5"/>
      <c r="S561" s="5"/>
      <c r="T561" s="5"/>
      <c r="U561" s="5"/>
      <c r="V561" s="78"/>
      <c r="W561" s="78"/>
      <c r="X561" s="78"/>
      <c r="Y561" s="78"/>
      <c r="Z561" s="78"/>
    </row>
    <row r="562" ht="15.75" customHeight="1">
      <c r="A562" s="19"/>
      <c r="B562" s="51" t="s">
        <v>284</v>
      </c>
      <c r="C562" s="158"/>
      <c r="D562" s="158">
        <v>11.3</v>
      </c>
      <c r="E562" s="167"/>
      <c r="F562" s="168">
        <v>8.36</v>
      </c>
      <c r="G562" s="169"/>
      <c r="H562" s="167"/>
      <c r="I562" s="168"/>
      <c r="J562" s="168">
        <f>1.8*2.8+1.53*2.13+3.64*1.7</f>
        <v>14.4869</v>
      </c>
      <c r="K562" s="171">
        <f t="shared" ref="K562:K564" si="43">D562*F562-J562</f>
        <v>79.9811</v>
      </c>
      <c r="L562" s="78"/>
      <c r="M562" s="78"/>
      <c r="N562" s="5"/>
      <c r="O562" s="5"/>
      <c r="P562" s="5"/>
      <c r="Q562" s="5"/>
      <c r="R562" s="5"/>
      <c r="S562" s="5"/>
      <c r="T562" s="5"/>
      <c r="U562" s="5"/>
      <c r="V562" s="78"/>
      <c r="W562" s="78"/>
      <c r="X562" s="78"/>
      <c r="Y562" s="78"/>
      <c r="Z562" s="78"/>
    </row>
    <row r="563" ht="15.75" customHeight="1">
      <c r="A563" s="19"/>
      <c r="B563" s="51" t="s">
        <v>284</v>
      </c>
      <c r="C563" s="158"/>
      <c r="D563" s="158">
        <v>21.75</v>
      </c>
      <c r="E563" s="167"/>
      <c r="F563" s="168">
        <v>8.8</v>
      </c>
      <c r="G563" s="169"/>
      <c r="H563" s="167"/>
      <c r="I563" s="168"/>
      <c r="J563" s="168">
        <f>4*1.5+1.78*1.5*4+1.22*1.94+1.63*1.8*2.3*2+2.8*2.3+1.9*2.3+2.2*2.5</f>
        <v>48.8532</v>
      </c>
      <c r="K563" s="171">
        <f t="shared" si="43"/>
        <v>142.5468</v>
      </c>
      <c r="L563" s="78"/>
      <c r="M563" s="78"/>
      <c r="N563" s="5"/>
      <c r="O563" s="5"/>
      <c r="P563" s="5"/>
      <c r="Q563" s="5"/>
      <c r="R563" s="5"/>
      <c r="S563" s="5"/>
      <c r="T563" s="5"/>
      <c r="U563" s="5"/>
      <c r="V563" s="78"/>
      <c r="W563" s="78"/>
      <c r="X563" s="78"/>
      <c r="Y563" s="78"/>
      <c r="Z563" s="78"/>
    </row>
    <row r="564" ht="15.75" customHeight="1">
      <c r="A564" s="19"/>
      <c r="B564" s="51" t="s">
        <v>285</v>
      </c>
      <c r="C564" s="158"/>
      <c r="D564" s="158">
        <v>2.3</v>
      </c>
      <c r="E564" s="167"/>
      <c r="F564" s="168">
        <v>5.8</v>
      </c>
      <c r="G564" s="169"/>
      <c r="H564" s="167"/>
      <c r="I564" s="168"/>
      <c r="J564" s="168">
        <f>1.93*1.5</f>
        <v>2.895</v>
      </c>
      <c r="K564" s="171">
        <f t="shared" si="43"/>
        <v>10.445</v>
      </c>
      <c r="L564" s="78"/>
      <c r="M564" s="78"/>
      <c r="N564" s="5"/>
      <c r="O564" s="5"/>
      <c r="P564" s="5"/>
      <c r="Q564" s="5"/>
      <c r="R564" s="5"/>
      <c r="S564" s="5"/>
      <c r="T564" s="5"/>
      <c r="U564" s="5"/>
      <c r="V564" s="78"/>
      <c r="W564" s="78"/>
      <c r="X564" s="78"/>
      <c r="Y564" s="78"/>
      <c r="Z564" s="78"/>
    </row>
    <row r="565" ht="15.75" customHeight="1">
      <c r="A565" s="19"/>
      <c r="B565" s="51" t="s">
        <v>286</v>
      </c>
      <c r="C565" s="158"/>
      <c r="D565" s="158"/>
      <c r="E565" s="167"/>
      <c r="F565" s="168"/>
      <c r="G565" s="169"/>
      <c r="H565" s="167"/>
      <c r="I565" s="168"/>
      <c r="J565" s="167"/>
      <c r="K565" s="171">
        <v>31.8</v>
      </c>
      <c r="L565" s="78"/>
      <c r="M565" s="78"/>
      <c r="N565" s="5"/>
      <c r="O565" s="5"/>
      <c r="P565" s="5"/>
      <c r="Q565" s="5"/>
      <c r="R565" s="5"/>
      <c r="S565" s="5"/>
      <c r="T565" s="5"/>
      <c r="U565" s="5"/>
      <c r="V565" s="78"/>
      <c r="W565" s="78"/>
      <c r="X565" s="78"/>
      <c r="Y565" s="78"/>
      <c r="Z565" s="78"/>
    </row>
    <row r="566" ht="15.75" customHeight="1">
      <c r="A566" s="19"/>
      <c r="B566" s="51" t="s">
        <v>287</v>
      </c>
      <c r="C566" s="158"/>
      <c r="D566" s="158"/>
      <c r="E566" s="167"/>
      <c r="F566" s="168"/>
      <c r="G566" s="169"/>
      <c r="H566" s="167"/>
      <c r="I566" s="168"/>
      <c r="J566" s="167"/>
      <c r="K566" s="171">
        <v>8.8</v>
      </c>
      <c r="L566" s="78"/>
      <c r="M566" s="78"/>
      <c r="N566" s="5"/>
      <c r="O566" s="5"/>
      <c r="P566" s="5"/>
      <c r="Q566" s="5"/>
      <c r="R566" s="5"/>
      <c r="S566" s="5"/>
      <c r="T566" s="5"/>
      <c r="U566" s="5"/>
      <c r="V566" s="78"/>
      <c r="W566" s="78"/>
      <c r="X566" s="78"/>
      <c r="Y566" s="78"/>
      <c r="Z566" s="78"/>
    </row>
    <row r="567" ht="15.75" customHeight="1">
      <c r="A567" s="19"/>
      <c r="B567" s="51" t="s">
        <v>288</v>
      </c>
      <c r="C567" s="158"/>
      <c r="D567" s="158"/>
      <c r="E567" s="167"/>
      <c r="F567" s="168"/>
      <c r="G567" s="169"/>
      <c r="H567" s="167"/>
      <c r="I567" s="168"/>
      <c r="J567" s="167"/>
      <c r="K567" s="171">
        <v>32.1</v>
      </c>
      <c r="L567" s="78"/>
      <c r="M567" s="78"/>
      <c r="N567" s="5"/>
      <c r="O567" s="5"/>
      <c r="P567" s="5"/>
      <c r="Q567" s="5"/>
      <c r="R567" s="5"/>
      <c r="S567" s="5"/>
      <c r="T567" s="5"/>
      <c r="U567" s="5"/>
      <c r="V567" s="78"/>
      <c r="W567" s="78"/>
      <c r="X567" s="78"/>
      <c r="Y567" s="78"/>
      <c r="Z567" s="78"/>
    </row>
    <row r="568" ht="15.75" customHeight="1">
      <c r="A568" s="19"/>
      <c r="B568" s="38" t="s">
        <v>27</v>
      </c>
      <c r="C568" s="39"/>
      <c r="D568" s="39"/>
      <c r="E568" s="39"/>
      <c r="F568" s="39"/>
      <c r="G568" s="39"/>
      <c r="H568" s="39"/>
      <c r="I568" s="39"/>
      <c r="J568" s="40"/>
      <c r="K568" s="172">
        <f>SUM(K562:K567)</f>
        <v>305.6729</v>
      </c>
      <c r="L568" s="5"/>
      <c r="M568" s="5"/>
      <c r="N568" s="78"/>
      <c r="O568" s="5"/>
      <c r="P568" s="5"/>
      <c r="Q568" s="78"/>
      <c r="R568" s="78"/>
      <c r="S568" s="78"/>
      <c r="T568" s="78"/>
      <c r="U568" s="78"/>
      <c r="V568" s="5"/>
      <c r="W568" s="5"/>
      <c r="X568" s="5"/>
      <c r="Y568" s="5"/>
      <c r="Z568" s="5"/>
    </row>
    <row r="569" ht="15.75" customHeight="1">
      <c r="A569" s="19"/>
      <c r="B569" s="56"/>
      <c r="C569" s="90"/>
      <c r="D569" s="90"/>
      <c r="E569" s="90"/>
      <c r="F569" s="90"/>
      <c r="G569" s="91"/>
      <c r="H569" s="90"/>
      <c r="I569" s="90"/>
      <c r="J569" s="4"/>
      <c r="K569" s="4"/>
      <c r="L569" s="5"/>
      <c r="M569" s="5"/>
      <c r="N569" s="78"/>
      <c r="O569" s="5"/>
      <c r="P569" s="5"/>
      <c r="Q569" s="78"/>
      <c r="R569" s="78"/>
      <c r="S569" s="78"/>
      <c r="T569" s="78"/>
      <c r="U569" s="78"/>
      <c r="V569" s="5"/>
      <c r="W569" s="5"/>
      <c r="X569" s="5"/>
      <c r="Y569" s="5"/>
      <c r="Z569" s="5"/>
    </row>
    <row r="570" ht="15.75" customHeight="1">
      <c r="A570" s="17" t="s">
        <v>295</v>
      </c>
      <c r="B570" s="88" t="s">
        <v>296</v>
      </c>
      <c r="C570" s="66"/>
      <c r="D570" s="15"/>
      <c r="E570" s="66"/>
      <c r="F570" s="66"/>
      <c r="G570" s="165"/>
      <c r="H570" s="66"/>
      <c r="I570" s="66"/>
      <c r="J570" s="166"/>
      <c r="K570" s="4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</row>
    <row r="571" ht="15.75" customHeight="1">
      <c r="A571" s="12"/>
      <c r="B571" s="67"/>
      <c r="C571" s="66"/>
      <c r="D571" s="15"/>
      <c r="E571" s="66"/>
      <c r="F571" s="66"/>
      <c r="G571" s="165"/>
      <c r="H571" s="15" t="s">
        <v>270</v>
      </c>
      <c r="K571" s="4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</row>
    <row r="572" ht="15.75" customHeight="1">
      <c r="A572" s="19"/>
      <c r="B572" s="24" t="s">
        <v>6</v>
      </c>
      <c r="C572" s="43" t="s">
        <v>7</v>
      </c>
      <c r="D572" s="43" t="s">
        <v>8</v>
      </c>
      <c r="E572" s="43" t="s">
        <v>9</v>
      </c>
      <c r="F572" s="43" t="s">
        <v>10</v>
      </c>
      <c r="G572" s="26" t="s">
        <v>14</v>
      </c>
      <c r="H572" s="43" t="s">
        <v>272</v>
      </c>
      <c r="I572" s="43" t="s">
        <v>273</v>
      </c>
      <c r="J572" s="43" t="s">
        <v>17</v>
      </c>
      <c r="K572" s="85" t="s">
        <v>274</v>
      </c>
      <c r="L572" s="78"/>
      <c r="M572" s="78"/>
      <c r="N572" s="5"/>
      <c r="O572" s="5"/>
      <c r="P572" s="5"/>
      <c r="Q572" s="5"/>
      <c r="R572" s="5"/>
      <c r="S572" s="5"/>
      <c r="T572" s="5"/>
      <c r="U572" s="5"/>
      <c r="V572" s="78"/>
      <c r="W572" s="78"/>
      <c r="X572" s="78"/>
      <c r="Y572" s="78"/>
      <c r="Z572" s="78"/>
    </row>
    <row r="573" ht="15.75" customHeight="1">
      <c r="A573" s="19"/>
      <c r="B573" s="51" t="s">
        <v>297</v>
      </c>
      <c r="C573" s="158"/>
      <c r="D573" s="158"/>
      <c r="E573" s="167"/>
      <c r="F573" s="168"/>
      <c r="G573" s="169">
        <v>22.0</v>
      </c>
      <c r="H573" s="167"/>
      <c r="I573" s="168"/>
      <c r="J573" s="167"/>
      <c r="K573" s="171">
        <f t="shared" ref="K573:K577" si="44">G573</f>
        <v>22</v>
      </c>
      <c r="L573" s="78"/>
      <c r="M573" s="78"/>
      <c r="N573" s="5"/>
      <c r="O573" s="5"/>
      <c r="P573" s="5"/>
      <c r="Q573" s="5"/>
      <c r="R573" s="5"/>
      <c r="S573" s="5"/>
      <c r="T573" s="5"/>
      <c r="U573" s="5"/>
      <c r="V573" s="78"/>
      <c r="W573" s="78"/>
      <c r="X573" s="78"/>
      <c r="Y573" s="78"/>
      <c r="Z573" s="78"/>
    </row>
    <row r="574" ht="15.75" customHeight="1">
      <c r="A574" s="19"/>
      <c r="B574" s="51" t="s">
        <v>297</v>
      </c>
      <c r="C574" s="158"/>
      <c r="D574" s="158"/>
      <c r="E574" s="167"/>
      <c r="F574" s="168"/>
      <c r="G574" s="169">
        <v>14.85</v>
      </c>
      <c r="H574" s="167"/>
      <c r="I574" s="168"/>
      <c r="J574" s="167"/>
      <c r="K574" s="171">
        <f t="shared" si="44"/>
        <v>14.85</v>
      </c>
      <c r="L574" s="78"/>
      <c r="M574" s="78"/>
      <c r="N574" s="5"/>
      <c r="O574" s="5"/>
      <c r="P574" s="5"/>
      <c r="Q574" s="5"/>
      <c r="R574" s="5"/>
      <c r="S574" s="5"/>
      <c r="T574" s="5"/>
      <c r="U574" s="5"/>
      <c r="V574" s="78"/>
      <c r="W574" s="78"/>
      <c r="X574" s="78"/>
      <c r="Y574" s="78"/>
      <c r="Z574" s="78"/>
    </row>
    <row r="575" ht="15.75" customHeight="1">
      <c r="A575" s="19"/>
      <c r="B575" s="51" t="s">
        <v>297</v>
      </c>
      <c r="C575" s="158"/>
      <c r="D575" s="158"/>
      <c r="E575" s="167"/>
      <c r="F575" s="168"/>
      <c r="G575" s="173">
        <v>8.8</v>
      </c>
      <c r="H575" s="167"/>
      <c r="I575" s="168"/>
      <c r="J575" s="167"/>
      <c r="K575" s="171">
        <f t="shared" si="44"/>
        <v>8.8</v>
      </c>
      <c r="L575" s="78"/>
      <c r="M575" s="78"/>
      <c r="N575" s="5"/>
      <c r="O575" s="5"/>
      <c r="P575" s="5"/>
      <c r="Q575" s="5"/>
      <c r="R575" s="5"/>
      <c r="S575" s="5"/>
      <c r="T575" s="5"/>
      <c r="U575" s="5"/>
      <c r="V575" s="78"/>
      <c r="W575" s="78"/>
      <c r="X575" s="78"/>
      <c r="Y575" s="78"/>
      <c r="Z575" s="78"/>
    </row>
    <row r="576" ht="15.75" customHeight="1">
      <c r="A576" s="19"/>
      <c r="B576" s="51" t="s">
        <v>297</v>
      </c>
      <c r="C576" s="158"/>
      <c r="D576" s="158"/>
      <c r="E576" s="167"/>
      <c r="F576" s="168"/>
      <c r="G576" s="169">
        <v>28.3</v>
      </c>
      <c r="H576" s="167"/>
      <c r="I576" s="168"/>
      <c r="J576" s="167"/>
      <c r="K576" s="171">
        <f t="shared" si="44"/>
        <v>28.3</v>
      </c>
      <c r="L576" s="78"/>
      <c r="M576" s="78"/>
      <c r="N576" s="5"/>
      <c r="O576" s="5"/>
      <c r="P576" s="5"/>
      <c r="Q576" s="5"/>
      <c r="R576" s="5"/>
      <c r="S576" s="5"/>
      <c r="T576" s="5"/>
      <c r="U576" s="5"/>
      <c r="V576" s="78"/>
      <c r="W576" s="78"/>
      <c r="X576" s="78"/>
      <c r="Y576" s="78"/>
      <c r="Z576" s="78"/>
    </row>
    <row r="577" ht="15.75" customHeight="1">
      <c r="A577" s="19"/>
      <c r="B577" s="51" t="s">
        <v>297</v>
      </c>
      <c r="C577" s="158"/>
      <c r="D577" s="158"/>
      <c r="E577" s="167"/>
      <c r="F577" s="168"/>
      <c r="G577" s="169">
        <v>2.5</v>
      </c>
      <c r="H577" s="167"/>
      <c r="I577" s="168"/>
      <c r="J577" s="167"/>
      <c r="K577" s="171">
        <f t="shared" si="44"/>
        <v>2.5</v>
      </c>
      <c r="L577" s="78"/>
      <c r="M577" s="78"/>
      <c r="N577" s="5"/>
      <c r="O577" s="5"/>
      <c r="P577" s="5"/>
      <c r="Q577" s="5"/>
      <c r="R577" s="5"/>
      <c r="S577" s="5"/>
      <c r="T577" s="5"/>
      <c r="U577" s="5"/>
      <c r="V577" s="78"/>
      <c r="W577" s="78"/>
      <c r="X577" s="78"/>
      <c r="Y577" s="78"/>
      <c r="Z577" s="78"/>
    </row>
    <row r="578" ht="15.75" customHeight="1">
      <c r="A578" s="19"/>
      <c r="B578" s="51" t="s">
        <v>298</v>
      </c>
      <c r="C578" s="158"/>
      <c r="D578" s="158"/>
      <c r="E578" s="167"/>
      <c r="F578" s="168"/>
      <c r="G578" s="169">
        <v>98.3</v>
      </c>
      <c r="H578" s="167"/>
      <c r="I578" s="168"/>
      <c r="J578" s="167">
        <f t="shared" ref="J578:J579" si="45">3.3+3.8+4.1+6.4+4.55+5.3</f>
        <v>27.45</v>
      </c>
      <c r="K578" s="171">
        <f t="shared" ref="K578:K579" si="46">G578-J578</f>
        <v>70.85</v>
      </c>
      <c r="L578" s="78"/>
      <c r="M578" s="78"/>
      <c r="N578" s="5"/>
      <c r="O578" s="5"/>
      <c r="P578" s="5"/>
      <c r="Q578" s="5"/>
      <c r="R578" s="5"/>
      <c r="S578" s="5"/>
      <c r="T578" s="5"/>
      <c r="U578" s="5"/>
      <c r="V578" s="78"/>
      <c r="W578" s="78"/>
      <c r="X578" s="78"/>
      <c r="Y578" s="78"/>
      <c r="Z578" s="78"/>
    </row>
    <row r="579" ht="15.75" customHeight="1">
      <c r="A579" s="19"/>
      <c r="B579" s="51" t="s">
        <v>299</v>
      </c>
      <c r="C579" s="158"/>
      <c r="D579" s="158"/>
      <c r="E579" s="167"/>
      <c r="F579" s="168"/>
      <c r="G579" s="169">
        <v>46.12</v>
      </c>
      <c r="H579" s="167"/>
      <c r="I579" s="168"/>
      <c r="J579" s="167">
        <f t="shared" si="45"/>
        <v>27.45</v>
      </c>
      <c r="K579" s="171">
        <f t="shared" si="46"/>
        <v>18.67</v>
      </c>
      <c r="L579" s="78"/>
      <c r="M579" s="78"/>
      <c r="N579" s="5"/>
      <c r="O579" s="5"/>
      <c r="P579" s="5"/>
      <c r="Q579" s="5"/>
      <c r="R579" s="5"/>
      <c r="S579" s="5"/>
      <c r="T579" s="5"/>
      <c r="U579" s="5"/>
      <c r="V579" s="78"/>
      <c r="W579" s="78"/>
      <c r="X579" s="78"/>
      <c r="Y579" s="78"/>
      <c r="Z579" s="78"/>
    </row>
    <row r="580" ht="15.75" customHeight="1">
      <c r="A580" s="19"/>
      <c r="B580" s="38" t="s">
        <v>27</v>
      </c>
      <c r="C580" s="39"/>
      <c r="D580" s="39"/>
      <c r="E580" s="39"/>
      <c r="F580" s="39"/>
      <c r="G580" s="39"/>
      <c r="H580" s="39"/>
      <c r="I580" s="39"/>
      <c r="J580" s="40"/>
      <c r="K580" s="172">
        <f>SUM(K573:K579)</f>
        <v>165.97</v>
      </c>
      <c r="L580" s="5"/>
      <c r="M580" s="5"/>
      <c r="N580" s="78"/>
      <c r="O580" s="5"/>
      <c r="P580" s="5"/>
      <c r="Q580" s="78"/>
      <c r="R580" s="78"/>
      <c r="S580" s="78"/>
      <c r="T580" s="78"/>
      <c r="U580" s="78"/>
      <c r="V580" s="5"/>
      <c r="W580" s="5"/>
      <c r="X580" s="5"/>
      <c r="Y580" s="5"/>
      <c r="Z580" s="5"/>
    </row>
    <row r="581" ht="15.75" customHeight="1">
      <c r="A581" s="19"/>
      <c r="B581" s="56"/>
      <c r="C581" s="90"/>
      <c r="D581" s="90"/>
      <c r="E581" s="90"/>
      <c r="F581" s="90"/>
      <c r="G581" s="91"/>
      <c r="H581" s="90"/>
      <c r="I581" s="90"/>
      <c r="J581" s="4"/>
      <c r="K581" s="4"/>
      <c r="L581" s="5"/>
      <c r="M581" s="5"/>
      <c r="N581" s="78"/>
      <c r="O581" s="5"/>
      <c r="P581" s="5"/>
      <c r="Q581" s="78"/>
      <c r="R581" s="78"/>
      <c r="S581" s="78"/>
      <c r="T581" s="78"/>
      <c r="U581" s="78"/>
      <c r="V581" s="5"/>
      <c r="W581" s="5"/>
      <c r="X581" s="5"/>
      <c r="Y581" s="5"/>
      <c r="Z581" s="5"/>
    </row>
    <row r="582" ht="15.75" customHeight="1">
      <c r="A582" s="17" t="s">
        <v>300</v>
      </c>
      <c r="B582" s="88" t="s">
        <v>301</v>
      </c>
      <c r="C582" s="66"/>
      <c r="D582" s="15"/>
      <c r="E582" s="66"/>
      <c r="F582" s="66"/>
      <c r="G582" s="165"/>
      <c r="H582" s="66"/>
      <c r="I582" s="66"/>
      <c r="J582" s="166"/>
      <c r="K582" s="4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</row>
    <row r="583" ht="15.75" customHeight="1">
      <c r="A583" s="12"/>
      <c r="B583" s="67"/>
      <c r="C583" s="66"/>
      <c r="D583" s="15"/>
      <c r="E583" s="66"/>
      <c r="F583" s="66"/>
      <c r="G583" s="165"/>
      <c r="H583" s="15" t="s">
        <v>270</v>
      </c>
      <c r="K583" s="4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</row>
    <row r="584" ht="15.75" customHeight="1">
      <c r="A584" s="19"/>
      <c r="B584" s="24" t="s">
        <v>6</v>
      </c>
      <c r="C584" s="43" t="s">
        <v>7</v>
      </c>
      <c r="D584" s="43" t="s">
        <v>8</v>
      </c>
      <c r="E584" s="43" t="s">
        <v>9</v>
      </c>
      <c r="F584" s="43" t="s">
        <v>10</v>
      </c>
      <c r="G584" s="26" t="s">
        <v>14</v>
      </c>
      <c r="H584" s="43" t="s">
        <v>272</v>
      </c>
      <c r="I584" s="43" t="s">
        <v>273</v>
      </c>
      <c r="J584" s="43" t="s">
        <v>17</v>
      </c>
      <c r="K584" s="85" t="s">
        <v>274</v>
      </c>
      <c r="L584" s="78"/>
      <c r="M584" s="78"/>
      <c r="N584" s="5"/>
      <c r="O584" s="5"/>
      <c r="P584" s="5"/>
      <c r="Q584" s="5"/>
      <c r="R584" s="5"/>
      <c r="S584" s="5"/>
      <c r="T584" s="5"/>
      <c r="U584" s="5"/>
      <c r="V584" s="78"/>
      <c r="W584" s="78"/>
      <c r="X584" s="78"/>
      <c r="Y584" s="78"/>
      <c r="Z584" s="78"/>
    </row>
    <row r="585" ht="15.75" customHeight="1">
      <c r="A585" s="19"/>
      <c r="B585" s="51" t="s">
        <v>284</v>
      </c>
      <c r="C585" s="158"/>
      <c r="D585" s="158"/>
      <c r="E585" s="167"/>
      <c r="F585" s="168"/>
      <c r="G585" s="173">
        <v>88.8</v>
      </c>
      <c r="H585" s="167"/>
      <c r="I585" s="168"/>
      <c r="J585" s="167">
        <f>6+2.7+2.7+2.7+2.7</f>
        <v>16.8</v>
      </c>
      <c r="K585" s="171">
        <f t="shared" ref="K585:K587" si="47">G585-J585</f>
        <v>72</v>
      </c>
      <c r="L585" s="78"/>
      <c r="M585" s="78"/>
      <c r="N585" s="5"/>
      <c r="O585" s="5"/>
      <c r="P585" s="5"/>
      <c r="Q585" s="5"/>
      <c r="R585" s="5"/>
      <c r="S585" s="5"/>
      <c r="T585" s="5"/>
      <c r="U585" s="5"/>
      <c r="V585" s="78"/>
      <c r="W585" s="78"/>
      <c r="X585" s="78"/>
      <c r="Y585" s="78"/>
      <c r="Z585" s="78"/>
    </row>
    <row r="586" ht="15.75" customHeight="1">
      <c r="A586" s="19"/>
      <c r="B586" s="51" t="s">
        <v>302</v>
      </c>
      <c r="C586" s="158"/>
      <c r="D586" s="158"/>
      <c r="E586" s="167"/>
      <c r="F586" s="168"/>
      <c r="G586" s="169">
        <v>49.1</v>
      </c>
      <c r="H586" s="167"/>
      <c r="I586" s="168"/>
      <c r="J586" s="167">
        <f>10.9+2.25+2.25</f>
        <v>15.4</v>
      </c>
      <c r="K586" s="171">
        <f t="shared" si="47"/>
        <v>33.7</v>
      </c>
      <c r="L586" s="78"/>
      <c r="M586" s="78"/>
      <c r="N586" s="5"/>
      <c r="O586" s="5"/>
      <c r="P586" s="5"/>
      <c r="Q586" s="5"/>
      <c r="R586" s="5"/>
      <c r="S586" s="5"/>
      <c r="T586" s="5"/>
      <c r="U586" s="5"/>
      <c r="V586" s="78"/>
      <c r="W586" s="78"/>
      <c r="X586" s="78"/>
      <c r="Y586" s="78"/>
      <c r="Z586" s="78"/>
    </row>
    <row r="587" ht="15.75" customHeight="1">
      <c r="A587" s="19"/>
      <c r="B587" s="51" t="s">
        <v>285</v>
      </c>
      <c r="C587" s="158"/>
      <c r="D587" s="158"/>
      <c r="E587" s="167"/>
      <c r="F587" s="168"/>
      <c r="G587" s="169">
        <f>2.33*4.1</f>
        <v>9.553</v>
      </c>
      <c r="H587" s="167"/>
      <c r="I587" s="168"/>
      <c r="J587" s="167">
        <f>1.49*1.93</f>
        <v>2.8757</v>
      </c>
      <c r="K587" s="171">
        <f t="shared" si="47"/>
        <v>6.6773</v>
      </c>
      <c r="L587" s="78"/>
      <c r="M587" s="78"/>
      <c r="N587" s="5"/>
      <c r="O587" s="5"/>
      <c r="P587" s="5"/>
      <c r="Q587" s="5"/>
      <c r="R587" s="5"/>
      <c r="S587" s="5"/>
      <c r="T587" s="5"/>
      <c r="U587" s="5"/>
      <c r="V587" s="78"/>
      <c r="W587" s="78"/>
      <c r="X587" s="78"/>
      <c r="Y587" s="78"/>
      <c r="Z587" s="78"/>
    </row>
    <row r="588" ht="15.75" customHeight="1">
      <c r="A588" s="19"/>
      <c r="B588" s="38" t="s">
        <v>27</v>
      </c>
      <c r="C588" s="39"/>
      <c r="D588" s="39"/>
      <c r="E588" s="39"/>
      <c r="F588" s="39"/>
      <c r="G588" s="39"/>
      <c r="H588" s="39"/>
      <c r="I588" s="39"/>
      <c r="J588" s="40"/>
      <c r="K588" s="172">
        <f>SUM(K585:K587)</f>
        <v>112.3773</v>
      </c>
      <c r="L588" s="5"/>
      <c r="M588" s="5"/>
      <c r="N588" s="78"/>
      <c r="O588" s="5"/>
      <c r="P588" s="5"/>
      <c r="Q588" s="78"/>
      <c r="R588" s="78"/>
      <c r="S588" s="78"/>
      <c r="T588" s="78"/>
      <c r="U588" s="78"/>
      <c r="V588" s="5"/>
      <c r="W588" s="5"/>
      <c r="X588" s="5"/>
      <c r="Y588" s="5"/>
      <c r="Z588" s="5"/>
    </row>
    <row r="589" ht="15.75" customHeight="1">
      <c r="A589" s="19"/>
      <c r="B589" s="56"/>
      <c r="C589" s="90"/>
      <c r="D589" s="90"/>
      <c r="E589" s="90"/>
      <c r="F589" s="90"/>
      <c r="G589" s="91"/>
      <c r="H589" s="90"/>
      <c r="I589" s="90"/>
      <c r="J589" s="4"/>
      <c r="K589" s="4"/>
      <c r="L589" s="5"/>
      <c r="M589" s="5"/>
      <c r="N589" s="78"/>
      <c r="O589" s="5"/>
      <c r="P589" s="5"/>
      <c r="Q589" s="78"/>
      <c r="R589" s="78"/>
      <c r="S589" s="78"/>
      <c r="T589" s="78"/>
      <c r="U589" s="78"/>
      <c r="V589" s="5"/>
      <c r="W589" s="5"/>
      <c r="X589" s="5"/>
      <c r="Y589" s="5"/>
      <c r="Z589" s="5"/>
    </row>
    <row r="590" ht="15.75" customHeight="1">
      <c r="A590" s="58" t="s">
        <v>303</v>
      </c>
      <c r="B590" s="88" t="s">
        <v>301</v>
      </c>
      <c r="C590" s="66"/>
      <c r="D590" s="15"/>
      <c r="E590" s="66"/>
      <c r="F590" s="66"/>
      <c r="G590" s="165"/>
      <c r="H590" s="66"/>
      <c r="I590" s="66"/>
      <c r="J590" s="166"/>
      <c r="K590" s="4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</row>
    <row r="591" ht="15.75" customHeight="1">
      <c r="A591" s="12"/>
      <c r="B591" s="67"/>
      <c r="C591" s="66"/>
      <c r="D591" s="15"/>
      <c r="E591" s="66"/>
      <c r="F591" s="66"/>
      <c r="G591" s="165"/>
      <c r="H591" s="15" t="s">
        <v>270</v>
      </c>
      <c r="K591" s="4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</row>
    <row r="592" ht="15.75" customHeight="1">
      <c r="A592" s="19"/>
      <c r="B592" s="24" t="s">
        <v>6</v>
      </c>
      <c r="C592" s="43" t="s">
        <v>7</v>
      </c>
      <c r="D592" s="43" t="s">
        <v>8</v>
      </c>
      <c r="E592" s="43" t="s">
        <v>9</v>
      </c>
      <c r="F592" s="43" t="s">
        <v>10</v>
      </c>
      <c r="G592" s="26" t="s">
        <v>14</v>
      </c>
      <c r="H592" s="43" t="s">
        <v>272</v>
      </c>
      <c r="I592" s="43" t="s">
        <v>273</v>
      </c>
      <c r="J592" s="43" t="s">
        <v>17</v>
      </c>
      <c r="K592" s="85" t="s">
        <v>274</v>
      </c>
      <c r="L592" s="78"/>
      <c r="M592" s="78"/>
      <c r="N592" s="5"/>
      <c r="O592" s="5"/>
      <c r="P592" s="5"/>
      <c r="Q592" s="5"/>
      <c r="R592" s="5"/>
      <c r="S592" s="5"/>
      <c r="T592" s="5"/>
      <c r="U592" s="5"/>
      <c r="V592" s="78"/>
      <c r="W592" s="78"/>
      <c r="X592" s="78"/>
      <c r="Y592" s="78"/>
      <c r="Z592" s="78"/>
    </row>
    <row r="593" ht="15.75" customHeight="1">
      <c r="A593" s="19"/>
      <c r="B593" s="51" t="s">
        <v>286</v>
      </c>
      <c r="C593" s="158"/>
      <c r="D593" s="158"/>
      <c r="E593" s="167"/>
      <c r="F593" s="168"/>
      <c r="G593" s="169"/>
      <c r="H593" s="167"/>
      <c r="I593" s="168"/>
      <c r="J593" s="167"/>
      <c r="K593" s="174">
        <v>26.85</v>
      </c>
      <c r="L593" s="78"/>
      <c r="M593" s="78"/>
      <c r="N593" s="5"/>
      <c r="O593" s="5"/>
      <c r="P593" s="5"/>
      <c r="Q593" s="5"/>
      <c r="R593" s="5"/>
      <c r="S593" s="5"/>
      <c r="T593" s="5"/>
      <c r="U593" s="5"/>
      <c r="V593" s="78"/>
      <c r="W593" s="78"/>
      <c r="X593" s="78"/>
      <c r="Y593" s="78"/>
      <c r="Z593" s="78"/>
    </row>
    <row r="594" ht="15.75" customHeight="1">
      <c r="A594" s="19"/>
      <c r="B594" s="51" t="s">
        <v>287</v>
      </c>
      <c r="C594" s="158"/>
      <c r="D594" s="158"/>
      <c r="E594" s="167"/>
      <c r="F594" s="168"/>
      <c r="G594" s="169"/>
      <c r="H594" s="167"/>
      <c r="I594" s="168"/>
      <c r="J594" s="167"/>
      <c r="K594" s="171">
        <v>8.8</v>
      </c>
      <c r="L594" s="78"/>
      <c r="M594" s="78"/>
      <c r="N594" s="5"/>
      <c r="O594" s="5"/>
      <c r="P594" s="5"/>
      <c r="Q594" s="5"/>
      <c r="R594" s="5"/>
      <c r="S594" s="5"/>
      <c r="T594" s="5"/>
      <c r="U594" s="5"/>
      <c r="V594" s="78"/>
      <c r="W594" s="78"/>
      <c r="X594" s="78"/>
      <c r="Y594" s="78"/>
      <c r="Z594" s="78"/>
    </row>
    <row r="595" ht="15.75" customHeight="1">
      <c r="A595" s="19"/>
      <c r="B595" s="51" t="s">
        <v>288</v>
      </c>
      <c r="C595" s="158"/>
      <c r="D595" s="158"/>
      <c r="E595" s="167"/>
      <c r="F595" s="168"/>
      <c r="G595" s="169"/>
      <c r="H595" s="167"/>
      <c r="I595" s="168"/>
      <c r="J595" s="167"/>
      <c r="K595" s="174">
        <v>26.88</v>
      </c>
      <c r="L595" s="78"/>
      <c r="M595" s="78"/>
      <c r="N595" s="5"/>
      <c r="O595" s="5"/>
      <c r="P595" s="5"/>
      <c r="Q595" s="5"/>
      <c r="R595" s="5"/>
      <c r="S595" s="5"/>
      <c r="T595" s="5"/>
      <c r="U595" s="5"/>
      <c r="V595" s="78"/>
      <c r="W595" s="78"/>
      <c r="X595" s="78"/>
      <c r="Y595" s="78"/>
      <c r="Z595" s="78"/>
    </row>
    <row r="596" ht="15.75" customHeight="1">
      <c r="A596" s="19"/>
      <c r="B596" s="38" t="s">
        <v>27</v>
      </c>
      <c r="C596" s="39"/>
      <c r="D596" s="39"/>
      <c r="E596" s="39"/>
      <c r="F596" s="39"/>
      <c r="G596" s="39"/>
      <c r="H596" s="39"/>
      <c r="I596" s="39"/>
      <c r="J596" s="40"/>
      <c r="K596" s="172">
        <f>SUM(K593:K595)</f>
        <v>62.53</v>
      </c>
      <c r="L596" s="5"/>
      <c r="M596" s="5"/>
      <c r="N596" s="78"/>
      <c r="O596" s="5"/>
      <c r="P596" s="5"/>
      <c r="Q596" s="78"/>
      <c r="R596" s="78"/>
      <c r="S596" s="78"/>
      <c r="T596" s="78"/>
      <c r="U596" s="78"/>
      <c r="V596" s="5"/>
      <c r="W596" s="5"/>
      <c r="X596" s="5"/>
      <c r="Y596" s="5"/>
      <c r="Z596" s="5"/>
    </row>
    <row r="597" ht="15.0" customHeight="1">
      <c r="A597" s="175"/>
      <c r="B597" s="88"/>
      <c r="C597" s="89"/>
      <c r="D597" s="90"/>
      <c r="E597" s="89"/>
      <c r="F597" s="56"/>
      <c r="G597" s="91"/>
      <c r="H597" s="56"/>
      <c r="I597" s="90"/>
      <c r="J597" s="4"/>
      <c r="K597" s="119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</row>
    <row r="598" ht="15.0" customHeight="1">
      <c r="A598" s="58" t="s">
        <v>304</v>
      </c>
      <c r="B598" s="88" t="s">
        <v>305</v>
      </c>
      <c r="C598" s="89"/>
      <c r="D598" s="90"/>
      <c r="E598" s="89"/>
      <c r="F598" s="56"/>
      <c r="G598" s="91"/>
      <c r="H598" s="56"/>
      <c r="I598" s="90"/>
      <c r="J598" s="4"/>
      <c r="K598" s="119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</row>
    <row r="599" ht="15.75" customHeight="1">
      <c r="A599" s="12"/>
      <c r="B599" s="20"/>
      <c r="C599" s="15"/>
      <c r="D599" s="15"/>
      <c r="E599" s="15"/>
      <c r="F599" s="15"/>
      <c r="G599" s="16"/>
      <c r="H599" s="15"/>
      <c r="I599" s="15"/>
      <c r="J599" s="4"/>
      <c r="K599" s="119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</row>
    <row r="600" ht="15.75" customHeight="1">
      <c r="A600" s="19"/>
      <c r="B600" s="24" t="s">
        <v>6</v>
      </c>
      <c r="C600" s="25" t="s">
        <v>7</v>
      </c>
      <c r="D600" s="43" t="s">
        <v>8</v>
      </c>
      <c r="E600" s="43" t="s">
        <v>108</v>
      </c>
      <c r="F600" s="43" t="s">
        <v>9</v>
      </c>
      <c r="G600" s="26"/>
      <c r="H600" s="27"/>
      <c r="I600" s="85" t="s">
        <v>208</v>
      </c>
      <c r="J600" s="15"/>
      <c r="K600" s="176"/>
      <c r="L600" s="78"/>
      <c r="M600" s="78"/>
      <c r="N600" s="78"/>
      <c r="O600" s="78"/>
      <c r="P600" s="78"/>
      <c r="Q600" s="78"/>
      <c r="R600" s="78"/>
      <c r="S600" s="78"/>
      <c r="T600" s="78"/>
      <c r="U600" s="78"/>
      <c r="V600" s="78"/>
      <c r="W600" s="78"/>
      <c r="X600" s="78"/>
      <c r="Y600" s="78"/>
      <c r="Z600" s="78"/>
    </row>
    <row r="601" ht="15.75" customHeight="1">
      <c r="A601" s="19"/>
      <c r="B601" s="31" t="s">
        <v>306</v>
      </c>
      <c r="C601" s="93">
        <v>1.0</v>
      </c>
      <c r="D601" s="52">
        <v>4.0</v>
      </c>
      <c r="E601" s="52"/>
      <c r="F601" s="34"/>
      <c r="G601" s="35"/>
      <c r="H601" s="36"/>
      <c r="I601" s="92">
        <f t="shared" ref="I601:I603" si="48">C601*D601</f>
        <v>4</v>
      </c>
      <c r="J601" s="15"/>
      <c r="K601" s="176"/>
      <c r="L601" s="78"/>
      <c r="M601" s="78"/>
      <c r="N601" s="78"/>
      <c r="O601" s="78"/>
      <c r="P601" s="78"/>
      <c r="Q601" s="78"/>
      <c r="R601" s="78"/>
      <c r="S601" s="78"/>
      <c r="T601" s="78"/>
      <c r="U601" s="78"/>
      <c r="V601" s="78"/>
      <c r="W601" s="78"/>
      <c r="X601" s="78"/>
      <c r="Y601" s="78"/>
      <c r="Z601" s="78"/>
    </row>
    <row r="602" ht="15.75" customHeight="1">
      <c r="A602" s="19"/>
      <c r="B602" s="31" t="s">
        <v>306</v>
      </c>
      <c r="C602" s="93">
        <v>4.0</v>
      </c>
      <c r="D602" s="52">
        <v>1.78</v>
      </c>
      <c r="E602" s="52"/>
      <c r="F602" s="34"/>
      <c r="G602" s="35"/>
      <c r="H602" s="36"/>
      <c r="I602" s="92">
        <f t="shared" si="48"/>
        <v>7.12</v>
      </c>
      <c r="J602" s="15"/>
      <c r="K602" s="176"/>
      <c r="L602" s="78"/>
      <c r="M602" s="78"/>
      <c r="N602" s="78"/>
      <c r="O602" s="78"/>
      <c r="P602" s="78"/>
      <c r="Q602" s="78"/>
      <c r="R602" s="78"/>
      <c r="S602" s="78"/>
      <c r="T602" s="78"/>
      <c r="U602" s="78"/>
      <c r="V602" s="78"/>
      <c r="W602" s="78"/>
      <c r="X602" s="78"/>
      <c r="Y602" s="78"/>
      <c r="Z602" s="78"/>
    </row>
    <row r="603" ht="15.75" customHeight="1">
      <c r="A603" s="19"/>
      <c r="B603" s="31" t="s">
        <v>307</v>
      </c>
      <c r="C603" s="93">
        <v>2.0</v>
      </c>
      <c r="D603" s="52">
        <v>1.5</v>
      </c>
      <c r="E603" s="52"/>
      <c r="F603" s="34"/>
      <c r="G603" s="35"/>
      <c r="H603" s="36"/>
      <c r="I603" s="92">
        <f t="shared" si="48"/>
        <v>3</v>
      </c>
      <c r="J603" s="15"/>
      <c r="K603" s="15"/>
      <c r="L603" s="78"/>
      <c r="M603" s="78"/>
      <c r="N603" s="78"/>
      <c r="O603" s="78"/>
      <c r="P603" s="78"/>
      <c r="Q603" s="78"/>
      <c r="R603" s="78"/>
      <c r="S603" s="78"/>
      <c r="T603" s="78"/>
      <c r="U603" s="78"/>
      <c r="V603" s="78"/>
      <c r="W603" s="78"/>
      <c r="X603" s="78"/>
      <c r="Y603" s="78"/>
      <c r="Z603" s="78"/>
    </row>
    <row r="604" ht="15.75" customHeight="1">
      <c r="A604" s="19"/>
      <c r="B604" s="31" t="s">
        <v>308</v>
      </c>
      <c r="C604" s="93"/>
      <c r="D604" s="52"/>
      <c r="E604" s="52"/>
      <c r="F604" s="34"/>
      <c r="G604" s="35"/>
      <c r="H604" s="36"/>
      <c r="I604" s="92">
        <f>C604*D604*E604*F604</f>
        <v>0</v>
      </c>
      <c r="J604" s="15"/>
      <c r="K604" s="15"/>
      <c r="L604" s="78"/>
      <c r="M604" s="78"/>
      <c r="N604" s="78"/>
      <c r="O604" s="78"/>
      <c r="P604" s="78"/>
      <c r="Q604" s="78"/>
      <c r="R604" s="78"/>
      <c r="S604" s="78"/>
      <c r="T604" s="78"/>
      <c r="U604" s="78"/>
      <c r="V604" s="78"/>
      <c r="W604" s="78"/>
      <c r="X604" s="78"/>
      <c r="Y604" s="78"/>
      <c r="Z604" s="78"/>
    </row>
    <row r="605" ht="15.75" customHeight="1">
      <c r="A605" s="19"/>
      <c r="B605" s="38" t="s">
        <v>210</v>
      </c>
      <c r="C605" s="39"/>
      <c r="D605" s="39"/>
      <c r="E605" s="39"/>
      <c r="F605" s="39"/>
      <c r="G605" s="39"/>
      <c r="H605" s="40"/>
      <c r="I605" s="41">
        <f>SUM(I601:I604)</f>
        <v>14.12</v>
      </c>
      <c r="J605" s="4"/>
      <c r="K605" s="4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</row>
    <row r="606" ht="15.75" customHeight="1">
      <c r="A606" s="19"/>
      <c r="B606" s="56"/>
      <c r="C606" s="90"/>
      <c r="D606" s="90"/>
      <c r="E606" s="90"/>
      <c r="F606" s="90"/>
      <c r="G606" s="91"/>
      <c r="H606" s="90"/>
      <c r="I606" s="90"/>
      <c r="J606" s="4"/>
      <c r="K606" s="4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</row>
    <row r="607" ht="15.75" customHeight="1">
      <c r="A607" s="140" t="s">
        <v>309</v>
      </c>
      <c r="B607" s="18" t="s">
        <v>310</v>
      </c>
      <c r="C607" s="15"/>
      <c r="D607" s="15"/>
      <c r="E607" s="15"/>
      <c r="F607" s="15"/>
      <c r="G607" s="16"/>
      <c r="H607" s="15"/>
      <c r="I607" s="15"/>
      <c r="J607" s="4"/>
      <c r="K607" s="4"/>
      <c r="L607" s="78"/>
      <c r="M607" s="78"/>
      <c r="N607" s="78"/>
      <c r="O607" s="78"/>
      <c r="P607" s="78"/>
      <c r="Q607" s="78"/>
      <c r="R607" s="78"/>
      <c r="S607" s="78"/>
      <c r="T607" s="5"/>
      <c r="U607" s="5"/>
      <c r="V607" s="5"/>
      <c r="W607" s="5"/>
      <c r="X607" s="5"/>
      <c r="Y607" s="5"/>
      <c r="Z607" s="5"/>
    </row>
    <row r="608" ht="15.75" customHeight="1">
      <c r="A608" s="19"/>
      <c r="B608" s="20"/>
      <c r="C608" s="15"/>
      <c r="D608" s="15"/>
      <c r="E608" s="15"/>
      <c r="F608" s="15"/>
      <c r="G608" s="16"/>
      <c r="H608" s="15"/>
      <c r="I608" s="15"/>
      <c r="J608" s="4"/>
      <c r="K608" s="4"/>
      <c r="L608" s="78"/>
      <c r="M608" s="78"/>
      <c r="N608" s="78"/>
      <c r="O608" s="78"/>
      <c r="P608" s="78"/>
      <c r="Q608" s="78"/>
      <c r="R608" s="78"/>
      <c r="S608" s="78"/>
      <c r="T608" s="5"/>
      <c r="U608" s="5"/>
      <c r="V608" s="5"/>
      <c r="W608" s="5"/>
      <c r="X608" s="5"/>
      <c r="Y608" s="5"/>
      <c r="Z608" s="5"/>
    </row>
    <row r="609" ht="15.75" customHeight="1">
      <c r="A609" s="17" t="s">
        <v>311</v>
      </c>
      <c r="B609" s="42" t="s">
        <v>312</v>
      </c>
      <c r="J609" s="56"/>
      <c r="K609" s="56"/>
      <c r="L609" s="78"/>
      <c r="M609" s="78"/>
      <c r="N609" s="78"/>
      <c r="O609" s="78"/>
      <c r="P609" s="78"/>
      <c r="Q609" s="78"/>
      <c r="R609" s="78"/>
      <c r="S609" s="78"/>
      <c r="T609" s="147"/>
      <c r="U609" s="147"/>
      <c r="V609" s="147"/>
      <c r="W609" s="147"/>
      <c r="X609" s="147"/>
      <c r="Y609" s="147"/>
      <c r="Z609" s="147"/>
    </row>
    <row r="610" ht="15.75" customHeight="1">
      <c r="A610" s="12"/>
      <c r="B610" s="20"/>
      <c r="C610" s="15"/>
      <c r="D610" s="15"/>
      <c r="E610" s="15"/>
      <c r="F610" s="15"/>
      <c r="G610" s="16"/>
      <c r="H610" s="15"/>
      <c r="I610" s="15"/>
      <c r="J610" s="4"/>
      <c r="K610" s="4"/>
      <c r="L610" s="78"/>
      <c r="M610" s="78"/>
      <c r="N610" s="78"/>
      <c r="O610" s="78"/>
      <c r="P610" s="78"/>
      <c r="Q610" s="78"/>
      <c r="R610" s="78"/>
      <c r="S610" s="78"/>
      <c r="T610" s="5"/>
      <c r="U610" s="5"/>
      <c r="V610" s="5"/>
      <c r="W610" s="5"/>
      <c r="X610" s="5"/>
      <c r="Y610" s="5"/>
      <c r="Z610" s="5"/>
    </row>
    <row r="611" ht="15.0" customHeight="1">
      <c r="A611" s="148"/>
      <c r="B611" s="149" t="s">
        <v>6</v>
      </c>
      <c r="C611" s="43" t="s">
        <v>96</v>
      </c>
      <c r="D611" s="43" t="s">
        <v>10</v>
      </c>
      <c r="E611" s="150" t="s">
        <v>252</v>
      </c>
      <c r="F611" s="151"/>
      <c r="G611" s="152"/>
      <c r="H611" s="153" t="s">
        <v>253</v>
      </c>
      <c r="I611" s="5"/>
      <c r="J611" s="4"/>
      <c r="K611" s="4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</row>
    <row r="612" ht="15.75" customHeight="1">
      <c r="A612" s="148"/>
      <c r="B612" s="154"/>
      <c r="C612" s="33"/>
      <c r="D612" s="33"/>
      <c r="E612" s="33" t="s">
        <v>254</v>
      </c>
      <c r="F612" s="33" t="s">
        <v>255</v>
      </c>
      <c r="G612" s="155" t="s">
        <v>256</v>
      </c>
      <c r="H612" s="156"/>
      <c r="I612" s="5"/>
      <c r="J612" s="4"/>
      <c r="K612" s="4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</row>
    <row r="613" ht="15.75" customHeight="1">
      <c r="A613" s="148"/>
      <c r="B613" s="51" t="s">
        <v>280</v>
      </c>
      <c r="C613" s="33"/>
      <c r="D613" s="33"/>
      <c r="E613" s="33"/>
      <c r="F613" s="33"/>
      <c r="G613" s="155"/>
      <c r="H613" s="171">
        <v>45.11</v>
      </c>
      <c r="I613" s="5"/>
      <c r="J613" s="4"/>
      <c r="K613" s="4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</row>
    <row r="614" ht="15.75" customHeight="1">
      <c r="A614" s="148"/>
      <c r="B614" s="51" t="s">
        <v>281</v>
      </c>
      <c r="C614" s="33"/>
      <c r="D614" s="33"/>
      <c r="E614" s="33"/>
      <c r="F614" s="33"/>
      <c r="G614" s="155"/>
      <c r="H614" s="171">
        <v>45.11</v>
      </c>
      <c r="I614" s="5"/>
      <c r="J614" s="4"/>
      <c r="K614" s="4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</row>
    <row r="615" ht="15.75" customHeight="1">
      <c r="A615" s="148"/>
      <c r="B615" s="51" t="s">
        <v>277</v>
      </c>
      <c r="C615" s="33"/>
      <c r="D615" s="33"/>
      <c r="E615" s="33"/>
      <c r="F615" s="33"/>
      <c r="G615" s="155"/>
      <c r="H615" s="171">
        <v>142.0</v>
      </c>
      <c r="I615" s="5"/>
      <c r="J615" s="4"/>
      <c r="K615" s="4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</row>
    <row r="616" ht="15.75" customHeight="1">
      <c r="A616" s="19"/>
      <c r="B616" s="38" t="s">
        <v>260</v>
      </c>
      <c r="C616" s="39"/>
      <c r="D616" s="39"/>
      <c r="E616" s="39"/>
      <c r="F616" s="39"/>
      <c r="G616" s="40"/>
      <c r="H616" s="41">
        <f>SUM(H613:H615)</f>
        <v>232.22</v>
      </c>
      <c r="I616" s="5"/>
      <c r="J616" s="4"/>
      <c r="K616" s="4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</row>
    <row r="617" ht="15.75" customHeight="1">
      <c r="A617" s="148"/>
      <c r="B617" s="56"/>
      <c r="C617" s="90"/>
      <c r="D617" s="90"/>
      <c r="E617" s="90"/>
      <c r="F617" s="90"/>
      <c r="G617" s="16"/>
      <c r="H617" s="15"/>
      <c r="I617" s="15"/>
      <c r="J617" s="4"/>
      <c r="K617" s="78"/>
      <c r="L617" s="177"/>
      <c r="M617" s="78"/>
      <c r="N617" s="78"/>
      <c r="O617" s="78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</row>
    <row r="618" ht="15.75" customHeight="1">
      <c r="A618" s="17" t="s">
        <v>313</v>
      </c>
      <c r="B618" s="42" t="s">
        <v>314</v>
      </c>
      <c r="J618" s="4"/>
      <c r="K618" s="5"/>
      <c r="L618" s="5"/>
      <c r="M618" s="5"/>
      <c r="N618" s="5"/>
      <c r="O618" s="5"/>
      <c r="P618" s="78"/>
      <c r="Q618" s="78"/>
      <c r="R618" s="78"/>
      <c r="S618" s="78"/>
      <c r="T618" s="147"/>
      <c r="U618" s="147"/>
      <c r="V618" s="147"/>
      <c r="W618" s="147"/>
      <c r="X618" s="147"/>
      <c r="Y618" s="147"/>
      <c r="Z618" s="147"/>
    </row>
    <row r="619" ht="15.75" customHeight="1">
      <c r="A619" s="12"/>
      <c r="B619" s="20"/>
      <c r="C619" s="15"/>
      <c r="D619" s="15"/>
      <c r="E619" s="15"/>
      <c r="F619" s="15"/>
      <c r="G619" s="16"/>
      <c r="H619" s="15"/>
      <c r="I619" s="15"/>
      <c r="J619" s="4"/>
      <c r="K619" s="4"/>
      <c r="L619" s="78"/>
      <c r="M619" s="78"/>
      <c r="N619" s="78"/>
      <c r="O619" s="78"/>
      <c r="P619" s="78"/>
      <c r="Q619" s="78"/>
      <c r="R619" s="78"/>
      <c r="S619" s="78"/>
      <c r="T619" s="5"/>
      <c r="U619" s="5"/>
      <c r="V619" s="5"/>
      <c r="W619" s="5"/>
      <c r="X619" s="5"/>
      <c r="Y619" s="5"/>
      <c r="Z619" s="5"/>
    </row>
    <row r="620" ht="15.0" customHeight="1">
      <c r="A620" s="148"/>
      <c r="B620" s="149" t="s">
        <v>6</v>
      </c>
      <c r="C620" s="43" t="s">
        <v>96</v>
      </c>
      <c r="D620" s="43" t="s">
        <v>10</v>
      </c>
      <c r="E620" s="150" t="s">
        <v>252</v>
      </c>
      <c r="F620" s="151"/>
      <c r="G620" s="152"/>
      <c r="H620" s="153" t="s">
        <v>253</v>
      </c>
      <c r="I620" s="5"/>
      <c r="J620" s="4"/>
      <c r="K620" s="4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</row>
    <row r="621" ht="15.75" customHeight="1">
      <c r="A621" s="148"/>
      <c r="B621" s="154"/>
      <c r="C621" s="33"/>
      <c r="D621" s="33"/>
      <c r="E621" s="33" t="s">
        <v>254</v>
      </c>
      <c r="F621" s="33" t="s">
        <v>255</v>
      </c>
      <c r="G621" s="155" t="s">
        <v>256</v>
      </c>
      <c r="H621" s="156"/>
      <c r="I621" s="5"/>
      <c r="J621" s="4"/>
      <c r="K621" s="4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</row>
    <row r="622" ht="15.75" customHeight="1">
      <c r="A622" s="148"/>
      <c r="B622" s="51" t="s">
        <v>280</v>
      </c>
      <c r="C622" s="33"/>
      <c r="D622" s="33"/>
      <c r="E622" s="33"/>
      <c r="F622" s="33"/>
      <c r="G622" s="155"/>
      <c r="H622" s="171">
        <v>45.11</v>
      </c>
      <c r="I622" s="5"/>
      <c r="J622" s="4"/>
      <c r="K622" s="4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5"/>
    </row>
    <row r="623" ht="15.75" customHeight="1">
      <c r="A623" s="148"/>
      <c r="B623" s="51" t="s">
        <v>281</v>
      </c>
      <c r="C623" s="33"/>
      <c r="D623" s="33"/>
      <c r="E623" s="33"/>
      <c r="F623" s="33"/>
      <c r="G623" s="155"/>
      <c r="H623" s="171">
        <v>45.11</v>
      </c>
      <c r="I623" s="5"/>
      <c r="J623" s="4"/>
      <c r="K623" s="4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5"/>
    </row>
    <row r="624" ht="15.75" customHeight="1">
      <c r="A624" s="148"/>
      <c r="B624" s="86" t="s">
        <v>277</v>
      </c>
      <c r="C624" s="33"/>
      <c r="D624" s="33"/>
      <c r="E624" s="33"/>
      <c r="F624" s="33"/>
      <c r="G624" s="155"/>
      <c r="H624" s="171">
        <v>142.0</v>
      </c>
      <c r="I624" s="5"/>
      <c r="J624" s="4"/>
      <c r="K624" s="4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5"/>
    </row>
    <row r="625" ht="15.75" customHeight="1">
      <c r="A625" s="19"/>
      <c r="B625" s="38" t="s">
        <v>260</v>
      </c>
      <c r="C625" s="39"/>
      <c r="D625" s="39"/>
      <c r="E625" s="39"/>
      <c r="F625" s="39"/>
      <c r="G625" s="40"/>
      <c r="H625" s="41">
        <f>SUM(H622:H624)</f>
        <v>232.22</v>
      </c>
      <c r="I625" s="5"/>
      <c r="J625" s="4"/>
      <c r="K625" s="4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5"/>
    </row>
    <row r="626" ht="15.75" customHeight="1">
      <c r="A626" s="12"/>
      <c r="B626" s="20"/>
      <c r="C626" s="15"/>
      <c r="D626" s="15"/>
      <c r="E626" s="15"/>
      <c r="F626" s="15"/>
      <c r="G626" s="16"/>
      <c r="H626" s="15"/>
      <c r="I626" s="15"/>
      <c r="J626" s="4"/>
      <c r="K626" s="5"/>
      <c r="L626" s="5"/>
      <c r="M626" s="5"/>
      <c r="N626" s="5"/>
      <c r="O626" s="5"/>
      <c r="P626" s="78"/>
      <c r="Q626" s="78"/>
      <c r="R626" s="78"/>
      <c r="S626" s="78"/>
      <c r="T626" s="5"/>
      <c r="U626" s="5"/>
      <c r="V626" s="5"/>
      <c r="W626" s="5"/>
      <c r="X626" s="5"/>
      <c r="Y626" s="5"/>
      <c r="Z626" s="5"/>
    </row>
    <row r="627" ht="15.75" customHeight="1">
      <c r="A627" s="17" t="s">
        <v>315</v>
      </c>
      <c r="B627" s="42" t="s">
        <v>312</v>
      </c>
      <c r="J627" s="56"/>
      <c r="K627" s="56"/>
      <c r="L627" s="78"/>
      <c r="M627" s="78"/>
      <c r="N627" s="78"/>
      <c r="O627" s="78"/>
      <c r="P627" s="78"/>
      <c r="Q627" s="78"/>
      <c r="R627" s="78"/>
      <c r="S627" s="78"/>
      <c r="T627" s="147"/>
      <c r="U627" s="147"/>
      <c r="V627" s="147"/>
      <c r="W627" s="147"/>
      <c r="X627" s="147"/>
      <c r="Y627" s="147"/>
      <c r="Z627" s="147"/>
    </row>
    <row r="628" ht="15.75" customHeight="1">
      <c r="A628" s="12"/>
      <c r="B628" s="20"/>
      <c r="C628" s="15"/>
      <c r="D628" s="15"/>
      <c r="E628" s="15"/>
      <c r="F628" s="15"/>
      <c r="G628" s="16"/>
      <c r="H628" s="15"/>
      <c r="I628" s="15"/>
      <c r="J628" s="4"/>
      <c r="K628" s="4"/>
      <c r="L628" s="78"/>
      <c r="M628" s="78"/>
      <c r="N628" s="78"/>
      <c r="O628" s="78"/>
      <c r="P628" s="78"/>
      <c r="Q628" s="78"/>
      <c r="R628" s="78"/>
      <c r="S628" s="78"/>
      <c r="T628" s="5"/>
      <c r="U628" s="5"/>
      <c r="V628" s="5"/>
      <c r="W628" s="5"/>
      <c r="X628" s="5"/>
      <c r="Y628" s="5"/>
      <c r="Z628" s="5"/>
    </row>
    <row r="629" ht="15.0" customHeight="1">
      <c r="A629" s="148"/>
      <c r="B629" s="149" t="s">
        <v>6</v>
      </c>
      <c r="C629" s="43" t="s">
        <v>96</v>
      </c>
      <c r="D629" s="43" t="s">
        <v>10</v>
      </c>
      <c r="E629" s="150" t="s">
        <v>252</v>
      </c>
      <c r="F629" s="151"/>
      <c r="G629" s="152"/>
      <c r="H629" s="153" t="s">
        <v>253</v>
      </c>
      <c r="I629" s="5"/>
      <c r="J629" s="4"/>
      <c r="K629" s="4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5"/>
    </row>
    <row r="630" ht="15.75" customHeight="1">
      <c r="A630" s="148"/>
      <c r="B630" s="154"/>
      <c r="C630" s="33"/>
      <c r="D630" s="33"/>
      <c r="E630" s="33" t="s">
        <v>254</v>
      </c>
      <c r="F630" s="33" t="s">
        <v>255</v>
      </c>
      <c r="G630" s="155" t="s">
        <v>256</v>
      </c>
      <c r="H630" s="156"/>
      <c r="I630" s="5"/>
      <c r="J630" s="4"/>
      <c r="K630" s="4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5"/>
    </row>
    <row r="631" ht="15.75" customHeight="1">
      <c r="A631" s="148"/>
      <c r="B631" s="51" t="s">
        <v>280</v>
      </c>
      <c r="C631" s="33"/>
      <c r="D631" s="33"/>
      <c r="E631" s="33"/>
      <c r="F631" s="33"/>
      <c r="G631" s="155"/>
      <c r="H631" s="171">
        <v>45.11</v>
      </c>
      <c r="I631" s="5"/>
      <c r="J631" s="4"/>
      <c r="K631" s="4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5"/>
    </row>
    <row r="632" ht="15.75" customHeight="1">
      <c r="A632" s="148"/>
      <c r="B632" s="51" t="s">
        <v>281</v>
      </c>
      <c r="C632" s="33"/>
      <c r="D632" s="33"/>
      <c r="E632" s="33"/>
      <c r="F632" s="33"/>
      <c r="G632" s="155"/>
      <c r="H632" s="171">
        <v>45.11</v>
      </c>
      <c r="I632" s="5"/>
      <c r="J632" s="4"/>
      <c r="K632" s="4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5"/>
    </row>
    <row r="633" ht="15.75" customHeight="1">
      <c r="A633" s="148"/>
      <c r="B633" s="86" t="s">
        <v>277</v>
      </c>
      <c r="C633" s="33"/>
      <c r="D633" s="33"/>
      <c r="E633" s="33"/>
      <c r="F633" s="33"/>
      <c r="G633" s="155"/>
      <c r="H633" s="171">
        <v>142.0</v>
      </c>
      <c r="I633" s="5"/>
      <c r="J633" s="4"/>
      <c r="K633" s="4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5"/>
    </row>
    <row r="634" ht="15.75" customHeight="1">
      <c r="A634" s="19"/>
      <c r="B634" s="38" t="s">
        <v>260</v>
      </c>
      <c r="C634" s="39"/>
      <c r="D634" s="39"/>
      <c r="E634" s="39"/>
      <c r="F634" s="39"/>
      <c r="G634" s="40"/>
      <c r="H634" s="41">
        <f>SUM(H631:H633)</f>
        <v>232.22</v>
      </c>
      <c r="I634" s="5"/>
      <c r="J634" s="4"/>
      <c r="K634" s="4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5"/>
    </row>
    <row r="635" ht="15.75" customHeight="1">
      <c r="A635" s="148"/>
      <c r="B635" s="56"/>
      <c r="C635" s="90"/>
      <c r="D635" s="90"/>
      <c r="E635" s="90"/>
      <c r="F635" s="90"/>
      <c r="G635" s="16"/>
      <c r="H635" s="15"/>
      <c r="I635" s="15"/>
      <c r="J635" s="4"/>
      <c r="K635" s="78"/>
      <c r="L635" s="177"/>
      <c r="M635" s="78"/>
      <c r="N635" s="78"/>
      <c r="O635" s="78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5"/>
    </row>
    <row r="636" ht="15.75" customHeight="1">
      <c r="A636" s="17" t="s">
        <v>316</v>
      </c>
      <c r="B636" s="42" t="s">
        <v>317</v>
      </c>
      <c r="J636" s="56"/>
      <c r="K636" s="56"/>
      <c r="L636" s="78"/>
      <c r="M636" s="78"/>
      <c r="N636" s="78"/>
      <c r="O636" s="78"/>
      <c r="P636" s="78"/>
      <c r="Q636" s="78"/>
      <c r="R636" s="78"/>
      <c r="S636" s="78"/>
      <c r="T636" s="147"/>
      <c r="U636" s="147"/>
      <c r="V636" s="147"/>
      <c r="W636" s="147"/>
      <c r="X636" s="147"/>
      <c r="Y636" s="147"/>
      <c r="Z636" s="147"/>
    </row>
    <row r="637" ht="15.75" customHeight="1">
      <c r="A637" s="12"/>
      <c r="B637" s="20"/>
      <c r="C637" s="15"/>
      <c r="D637" s="15"/>
      <c r="E637" s="15"/>
      <c r="F637" s="15"/>
      <c r="G637" s="16"/>
      <c r="H637" s="15"/>
      <c r="I637" s="15"/>
      <c r="J637" s="4"/>
      <c r="K637" s="4"/>
      <c r="L637" s="78"/>
      <c r="M637" s="78"/>
      <c r="N637" s="78"/>
      <c r="O637" s="78"/>
      <c r="P637" s="78"/>
      <c r="Q637" s="78"/>
      <c r="R637" s="78"/>
      <c r="S637" s="78"/>
      <c r="T637" s="5"/>
      <c r="U637" s="5"/>
      <c r="V637" s="5"/>
      <c r="W637" s="5"/>
      <c r="X637" s="5"/>
      <c r="Y637" s="5"/>
      <c r="Z637" s="5"/>
    </row>
    <row r="638" ht="15.0" customHeight="1">
      <c r="A638" s="148"/>
      <c r="B638" s="149" t="s">
        <v>6</v>
      </c>
      <c r="C638" s="43" t="s">
        <v>96</v>
      </c>
      <c r="D638" s="43" t="s">
        <v>10</v>
      </c>
      <c r="E638" s="150" t="s">
        <v>252</v>
      </c>
      <c r="F638" s="151"/>
      <c r="G638" s="152"/>
      <c r="H638" s="153" t="s">
        <v>253</v>
      </c>
      <c r="I638" s="5"/>
      <c r="J638" s="4"/>
      <c r="K638" s="4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5"/>
    </row>
    <row r="639" ht="15.75" customHeight="1">
      <c r="A639" s="148"/>
      <c r="B639" s="154"/>
      <c r="C639" s="33"/>
      <c r="D639" s="33"/>
      <c r="E639" s="33" t="s">
        <v>254</v>
      </c>
      <c r="F639" s="33" t="s">
        <v>255</v>
      </c>
      <c r="G639" s="155" t="s">
        <v>256</v>
      </c>
      <c r="H639" s="156"/>
      <c r="I639" s="5"/>
      <c r="J639" s="4"/>
      <c r="K639" s="4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5"/>
    </row>
    <row r="640" ht="15.75" customHeight="1">
      <c r="A640" s="148"/>
      <c r="B640" s="51" t="s">
        <v>280</v>
      </c>
      <c r="C640" s="158">
        <v>46.5</v>
      </c>
      <c r="D640" s="33">
        <f>(4.5+3.93)/2</f>
        <v>4.215</v>
      </c>
      <c r="E640" s="33"/>
      <c r="F640" s="33"/>
      <c r="G640" s="169">
        <f>1.8*2.2+1.83*2.13+1.8*3.64+2.2*2.4+1.87*2.45+2.8*2.3+1.8*2.3+1.76*2.3+1.63*2.3+1.94*1.22</f>
        <v>45.0152</v>
      </c>
      <c r="H640" s="171">
        <f t="shared" ref="H640:H641" si="49">C640*D640-G640</f>
        <v>150.9823</v>
      </c>
      <c r="I640" s="5"/>
      <c r="J640" s="4"/>
      <c r="K640" s="4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5"/>
    </row>
    <row r="641" ht="15.75" customHeight="1">
      <c r="A641" s="148"/>
      <c r="B641" s="51" t="s">
        <v>281</v>
      </c>
      <c r="C641" s="158">
        <v>45.8</v>
      </c>
      <c r="D641" s="33">
        <v>3.1</v>
      </c>
      <c r="E641" s="33"/>
      <c r="F641" s="33"/>
      <c r="G641" s="169">
        <f>4*1.5+4*1.78*1.5+1.48*1.95+3.25*2.5+1.5*1.5*2</f>
        <v>32.191</v>
      </c>
      <c r="H641" s="171">
        <f t="shared" si="49"/>
        <v>109.789</v>
      </c>
      <c r="I641" s="5"/>
      <c r="J641" s="4"/>
      <c r="K641" s="4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5"/>
    </row>
    <row r="642" ht="15.75" customHeight="1">
      <c r="A642" s="19"/>
      <c r="B642" s="38" t="s">
        <v>260</v>
      </c>
      <c r="C642" s="39"/>
      <c r="D642" s="39"/>
      <c r="E642" s="39"/>
      <c r="F642" s="39"/>
      <c r="G642" s="40"/>
      <c r="H642" s="41">
        <f>SUM(H640:H641)</f>
        <v>260.7713</v>
      </c>
      <c r="I642" s="5"/>
      <c r="J642" s="4"/>
      <c r="K642" s="4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5"/>
    </row>
    <row r="643" ht="15.75" customHeight="1">
      <c r="A643" s="148"/>
      <c r="B643" s="56"/>
      <c r="C643" s="90"/>
      <c r="D643" s="90"/>
      <c r="E643" s="90"/>
      <c r="F643" s="90"/>
      <c r="G643" s="16"/>
      <c r="H643" s="15"/>
      <c r="I643" s="15"/>
      <c r="J643" s="4"/>
      <c r="K643" s="78"/>
      <c r="L643" s="177"/>
      <c r="M643" s="78"/>
      <c r="N643" s="78"/>
      <c r="O643" s="78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5"/>
    </row>
    <row r="644" ht="15.75" customHeight="1">
      <c r="A644" s="17" t="s">
        <v>318</v>
      </c>
      <c r="B644" s="42" t="s">
        <v>319</v>
      </c>
      <c r="J644" s="4"/>
      <c r="K644" s="5"/>
      <c r="L644" s="5"/>
      <c r="M644" s="5"/>
      <c r="N644" s="5"/>
      <c r="O644" s="5"/>
      <c r="P644" s="78"/>
      <c r="Q644" s="78"/>
      <c r="R644" s="78"/>
      <c r="S644" s="78"/>
      <c r="T644" s="147"/>
      <c r="U644" s="147"/>
      <c r="V644" s="147"/>
      <c r="W644" s="147"/>
      <c r="X644" s="147"/>
      <c r="Y644" s="147"/>
      <c r="Z644" s="147"/>
    </row>
    <row r="645" ht="15.75" customHeight="1">
      <c r="A645" s="12"/>
      <c r="B645" s="20"/>
      <c r="C645" s="15"/>
      <c r="D645" s="15"/>
      <c r="E645" s="15"/>
      <c r="F645" s="15"/>
      <c r="G645" s="16"/>
      <c r="H645" s="15"/>
      <c r="I645" s="15"/>
      <c r="J645" s="4"/>
      <c r="K645" s="4"/>
      <c r="L645" s="78"/>
      <c r="M645" s="78"/>
      <c r="N645" s="78"/>
      <c r="O645" s="78"/>
      <c r="P645" s="78"/>
      <c r="Q645" s="78"/>
      <c r="R645" s="78"/>
      <c r="S645" s="78"/>
      <c r="T645" s="5"/>
      <c r="U645" s="5"/>
      <c r="V645" s="5"/>
      <c r="W645" s="5"/>
      <c r="X645" s="5"/>
      <c r="Y645" s="5"/>
      <c r="Z645" s="5"/>
    </row>
    <row r="646" ht="15.0" customHeight="1">
      <c r="A646" s="148"/>
      <c r="B646" s="149" t="s">
        <v>6</v>
      </c>
      <c r="C646" s="43" t="s">
        <v>96</v>
      </c>
      <c r="D646" s="43" t="s">
        <v>10</v>
      </c>
      <c r="E646" s="150" t="s">
        <v>252</v>
      </c>
      <c r="F646" s="151"/>
      <c r="G646" s="152"/>
      <c r="H646" s="153" t="s">
        <v>253</v>
      </c>
      <c r="I646" s="5"/>
      <c r="J646" s="4"/>
      <c r="K646" s="4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5"/>
    </row>
    <row r="647" ht="15.75" customHeight="1">
      <c r="A647" s="148"/>
      <c r="B647" s="154"/>
      <c r="C647" s="33"/>
      <c r="D647" s="33"/>
      <c r="E647" s="33" t="s">
        <v>254</v>
      </c>
      <c r="F647" s="33" t="s">
        <v>255</v>
      </c>
      <c r="G647" s="155" t="s">
        <v>256</v>
      </c>
      <c r="H647" s="156"/>
      <c r="I647" s="5"/>
      <c r="J647" s="4"/>
      <c r="K647" s="4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5"/>
    </row>
    <row r="648" ht="15.75" customHeight="1">
      <c r="A648" s="148"/>
      <c r="B648" s="51" t="s">
        <v>280</v>
      </c>
      <c r="C648" s="158">
        <v>46.5</v>
      </c>
      <c r="D648" s="33">
        <f>(4.5+3.93)/2</f>
        <v>4.215</v>
      </c>
      <c r="E648" s="33"/>
      <c r="F648" s="33"/>
      <c r="G648" s="169">
        <f>1.8*2.2+1.83*2.13+1.8*3.64+2.2*2.4+1.87*2.45+2.8*2.3+1.8*2.3+1.76*2.3+1.63*2.3+1.94*1.22</f>
        <v>45.0152</v>
      </c>
      <c r="H648" s="171">
        <f t="shared" ref="H648:H649" si="50">C648*D648-G648</f>
        <v>150.9823</v>
      </c>
      <c r="I648" s="5"/>
      <c r="J648" s="4"/>
      <c r="K648" s="4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5"/>
    </row>
    <row r="649" ht="15.75" customHeight="1">
      <c r="A649" s="148"/>
      <c r="B649" s="51" t="s">
        <v>281</v>
      </c>
      <c r="C649" s="158">
        <v>45.8</v>
      </c>
      <c r="D649" s="33">
        <v>3.1</v>
      </c>
      <c r="E649" s="33"/>
      <c r="F649" s="33"/>
      <c r="G649" s="169">
        <f>4*1.5+4*1.78*1.5+1.48*1.95+3.25*2.5+1.5*1.5*2</f>
        <v>32.191</v>
      </c>
      <c r="H649" s="171">
        <f t="shared" si="50"/>
        <v>109.789</v>
      </c>
      <c r="I649" s="5"/>
      <c r="J649" s="4"/>
      <c r="K649" s="4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5"/>
    </row>
    <row r="650" ht="15.75" customHeight="1">
      <c r="A650" s="19"/>
      <c r="B650" s="38" t="s">
        <v>260</v>
      </c>
      <c r="C650" s="39"/>
      <c r="D650" s="39"/>
      <c r="E650" s="39"/>
      <c r="F650" s="39"/>
      <c r="G650" s="40"/>
      <c r="H650" s="41">
        <f>SUM(H648:H649)</f>
        <v>260.7713</v>
      </c>
      <c r="I650" s="5"/>
      <c r="J650" s="4"/>
      <c r="K650" s="4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5"/>
    </row>
    <row r="651" ht="15.75" customHeight="1">
      <c r="A651" s="12"/>
      <c r="B651" s="20"/>
      <c r="C651" s="15"/>
      <c r="D651" s="15"/>
      <c r="E651" s="15"/>
      <c r="F651" s="15"/>
      <c r="G651" s="16"/>
      <c r="H651" s="15"/>
      <c r="I651" s="15"/>
      <c r="J651" s="4"/>
      <c r="K651" s="5"/>
      <c r="L651" s="5"/>
      <c r="M651" s="5"/>
      <c r="N651" s="5"/>
      <c r="O651" s="5"/>
      <c r="P651" s="78"/>
      <c r="Q651" s="78"/>
      <c r="R651" s="78"/>
      <c r="S651" s="78"/>
      <c r="T651" s="5"/>
      <c r="U651" s="5"/>
      <c r="V651" s="5"/>
      <c r="W651" s="5"/>
      <c r="X651" s="5"/>
      <c r="Y651" s="5"/>
      <c r="Z651" s="5"/>
    </row>
    <row r="652" ht="15.75" customHeight="1">
      <c r="A652" s="17" t="s">
        <v>320</v>
      </c>
      <c r="B652" s="42" t="s">
        <v>321</v>
      </c>
      <c r="J652" s="56"/>
      <c r="K652" s="56"/>
      <c r="L652" s="78"/>
      <c r="M652" s="78"/>
      <c r="N652" s="78"/>
      <c r="O652" s="78"/>
      <c r="P652" s="78"/>
      <c r="Q652" s="78"/>
      <c r="R652" s="78"/>
      <c r="S652" s="78"/>
      <c r="T652" s="147"/>
      <c r="U652" s="147"/>
      <c r="V652" s="147"/>
      <c r="W652" s="147"/>
      <c r="X652" s="147"/>
      <c r="Y652" s="147"/>
      <c r="Z652" s="147"/>
    </row>
    <row r="653" ht="15.75" customHeight="1">
      <c r="A653" s="12"/>
      <c r="B653" s="20"/>
      <c r="C653" s="15"/>
      <c r="D653" s="15"/>
      <c r="E653" s="15"/>
      <c r="F653" s="15"/>
      <c r="G653" s="16"/>
      <c r="H653" s="15"/>
      <c r="I653" s="15"/>
      <c r="J653" s="4"/>
      <c r="K653" s="4"/>
      <c r="L653" s="78"/>
      <c r="M653" s="78"/>
      <c r="N653" s="78"/>
      <c r="O653" s="78"/>
      <c r="P653" s="78"/>
      <c r="Q653" s="78"/>
      <c r="R653" s="78"/>
      <c r="S653" s="78"/>
      <c r="T653" s="5"/>
      <c r="U653" s="5"/>
      <c r="V653" s="5"/>
      <c r="W653" s="5"/>
      <c r="X653" s="5"/>
      <c r="Y653" s="5"/>
      <c r="Z653" s="5"/>
    </row>
    <row r="654" ht="15.0" customHeight="1">
      <c r="A654" s="148"/>
      <c r="B654" s="149" t="s">
        <v>6</v>
      </c>
      <c r="C654" s="43" t="s">
        <v>96</v>
      </c>
      <c r="D654" s="43" t="s">
        <v>10</v>
      </c>
      <c r="E654" s="150" t="s">
        <v>252</v>
      </c>
      <c r="F654" s="151"/>
      <c r="G654" s="152"/>
      <c r="H654" s="153" t="s">
        <v>253</v>
      </c>
      <c r="I654" s="5"/>
      <c r="J654" s="4"/>
      <c r="K654" s="4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5"/>
    </row>
    <row r="655" ht="15.75" customHeight="1">
      <c r="A655" s="148"/>
      <c r="B655" s="154"/>
      <c r="C655" s="33"/>
      <c r="D655" s="33"/>
      <c r="E655" s="33" t="s">
        <v>254</v>
      </c>
      <c r="F655" s="33" t="s">
        <v>255</v>
      </c>
      <c r="G655" s="155" t="s">
        <v>256</v>
      </c>
      <c r="H655" s="156"/>
      <c r="I655" s="5"/>
      <c r="J655" s="4"/>
      <c r="K655" s="4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5"/>
    </row>
    <row r="656" ht="15.75" customHeight="1">
      <c r="A656" s="148"/>
      <c r="B656" s="51" t="s">
        <v>280</v>
      </c>
      <c r="C656" s="158">
        <v>46.5</v>
      </c>
      <c r="D656" s="33">
        <f>(4.5+3.93)/2</f>
        <v>4.215</v>
      </c>
      <c r="E656" s="33"/>
      <c r="F656" s="33"/>
      <c r="G656" s="169">
        <f>1.8*2.2+1.83*2.13+1.8*3.64+2.2*2.4+1.87*2.45+2.8*2.3+1.8*2.3+1.76*2.3+1.63*2.3+1.94*1.22</f>
        <v>45.0152</v>
      </c>
      <c r="H656" s="171">
        <f t="shared" ref="H656:H657" si="51">C656*D656-G656</f>
        <v>150.9823</v>
      </c>
      <c r="I656" s="5"/>
      <c r="J656" s="4"/>
      <c r="K656" s="4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5"/>
    </row>
    <row r="657" ht="15.75" customHeight="1">
      <c r="A657" s="148"/>
      <c r="B657" s="51" t="s">
        <v>281</v>
      </c>
      <c r="C657" s="158">
        <v>45.8</v>
      </c>
      <c r="D657" s="33">
        <v>3.1</v>
      </c>
      <c r="E657" s="33"/>
      <c r="F657" s="33"/>
      <c r="G657" s="169">
        <f>4*1.5+4*1.78*1.5+1.48*1.95+3.25*2.5+1.5*1.5*2</f>
        <v>32.191</v>
      </c>
      <c r="H657" s="171">
        <f t="shared" si="51"/>
        <v>109.789</v>
      </c>
      <c r="I657" s="5"/>
      <c r="J657" s="4"/>
      <c r="K657" s="4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5"/>
    </row>
    <row r="658" ht="15.75" customHeight="1">
      <c r="A658" s="19"/>
      <c r="B658" s="38" t="s">
        <v>260</v>
      </c>
      <c r="C658" s="39"/>
      <c r="D658" s="39"/>
      <c r="E658" s="39"/>
      <c r="F658" s="39"/>
      <c r="G658" s="40"/>
      <c r="H658" s="41">
        <f>SUM(H656:H657)</f>
        <v>260.7713</v>
      </c>
      <c r="I658" s="5"/>
      <c r="J658" s="4"/>
      <c r="K658" s="4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5"/>
    </row>
    <row r="659" ht="15.75" customHeight="1">
      <c r="A659" s="148"/>
      <c r="B659" s="56"/>
      <c r="C659" s="90"/>
      <c r="D659" s="90"/>
      <c r="E659" s="90"/>
      <c r="F659" s="90"/>
      <c r="G659" s="16"/>
      <c r="H659" s="15"/>
      <c r="I659" s="15"/>
      <c r="J659" s="4"/>
      <c r="K659" s="78"/>
      <c r="L659" s="177"/>
      <c r="M659" s="78"/>
      <c r="N659" s="78"/>
      <c r="O659" s="78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5"/>
    </row>
    <row r="660" ht="15.75" customHeight="1">
      <c r="A660" s="140" t="s">
        <v>322</v>
      </c>
      <c r="B660" s="178" t="s">
        <v>323</v>
      </c>
      <c r="C660" s="89"/>
      <c r="D660" s="89"/>
      <c r="E660" s="89"/>
      <c r="F660" s="89"/>
      <c r="G660" s="16"/>
      <c r="H660" s="15"/>
      <c r="I660" s="15"/>
      <c r="J660" s="4"/>
      <c r="K660" s="4"/>
      <c r="L660" s="78"/>
      <c r="M660" s="177"/>
      <c r="N660" s="78"/>
      <c r="O660" s="78"/>
      <c r="P660" s="78"/>
      <c r="Q660" s="78"/>
      <c r="R660" s="78"/>
      <c r="S660" s="78"/>
      <c r="T660" s="5"/>
      <c r="U660" s="5"/>
      <c r="V660" s="5"/>
      <c r="W660" s="5"/>
      <c r="X660" s="5"/>
      <c r="Y660" s="5"/>
      <c r="Z660" s="5"/>
    </row>
    <row r="661" ht="15.75" customHeight="1">
      <c r="A661" s="179"/>
      <c r="B661" s="180"/>
      <c r="C661" s="89"/>
      <c r="D661" s="89"/>
      <c r="E661" s="89"/>
      <c r="F661" s="89"/>
      <c r="G661" s="16"/>
      <c r="H661" s="15"/>
      <c r="I661" s="15"/>
      <c r="J661" s="4"/>
      <c r="K661" s="4"/>
      <c r="L661" s="5"/>
      <c r="M661" s="5"/>
      <c r="N661" s="5"/>
      <c r="O661" s="5"/>
      <c r="P661" s="5"/>
      <c r="Q661" s="78"/>
      <c r="R661" s="78"/>
      <c r="S661" s="78"/>
      <c r="T661" s="5"/>
      <c r="U661" s="5"/>
      <c r="V661" s="5"/>
      <c r="W661" s="5"/>
      <c r="X661" s="5"/>
      <c r="Y661" s="5"/>
      <c r="Z661" s="5"/>
    </row>
    <row r="662" ht="15.75" customHeight="1">
      <c r="A662" s="17" t="s">
        <v>324</v>
      </c>
      <c r="B662" s="56" t="s">
        <v>325</v>
      </c>
      <c r="C662" s="66"/>
      <c r="D662" s="15"/>
      <c r="E662" s="66"/>
      <c r="F662" s="66"/>
      <c r="G662" s="165"/>
      <c r="H662" s="66"/>
      <c r="I662" s="15"/>
      <c r="J662" s="4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5"/>
    </row>
    <row r="663" ht="15.75" customHeight="1">
      <c r="A663" s="12"/>
      <c r="B663" s="67"/>
      <c r="C663" s="66"/>
      <c r="D663" s="15"/>
      <c r="E663" s="66"/>
      <c r="F663" s="66"/>
      <c r="G663" s="165"/>
      <c r="H663" s="66"/>
      <c r="I663" s="66"/>
      <c r="J663" s="4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5"/>
    </row>
    <row r="664" ht="15.75" customHeight="1">
      <c r="A664" s="19"/>
      <c r="B664" s="24" t="s">
        <v>6</v>
      </c>
      <c r="C664" s="25" t="s">
        <v>7</v>
      </c>
      <c r="D664" s="181" t="s">
        <v>274</v>
      </c>
      <c r="E664" s="43" t="s">
        <v>8</v>
      </c>
      <c r="F664" s="25" t="s">
        <v>9</v>
      </c>
      <c r="G664" s="84" t="s">
        <v>10</v>
      </c>
      <c r="H664" s="50" t="s">
        <v>326</v>
      </c>
      <c r="I664" s="44" t="s">
        <v>21</v>
      </c>
      <c r="J664" s="15"/>
      <c r="K664" s="78"/>
      <c r="L664" s="78"/>
      <c r="M664" s="78"/>
      <c r="N664" s="78"/>
      <c r="O664" s="78"/>
      <c r="P664" s="78"/>
      <c r="Q664" s="78"/>
      <c r="R664" s="78"/>
      <c r="S664" s="78"/>
      <c r="T664" s="78"/>
      <c r="U664" s="78"/>
      <c r="V664" s="78"/>
      <c r="W664" s="78"/>
      <c r="X664" s="78"/>
      <c r="Y664" s="78"/>
      <c r="Z664" s="78"/>
    </row>
    <row r="665" ht="15.75" customHeight="1">
      <c r="A665" s="19"/>
      <c r="B665" s="182" t="s">
        <v>132</v>
      </c>
      <c r="C665" s="52"/>
      <c r="D665" s="33">
        <v>387.35</v>
      </c>
      <c r="E665" s="71"/>
      <c r="F665" s="52"/>
      <c r="G665" s="75"/>
      <c r="H665" s="76">
        <f>17.8</f>
        <v>17.8</v>
      </c>
      <c r="I665" s="161">
        <f>D665-H665</f>
        <v>369.55</v>
      </c>
      <c r="J665" s="15"/>
      <c r="K665" s="78"/>
      <c r="L665" s="78"/>
      <c r="M665" s="78"/>
      <c r="N665" s="78"/>
      <c r="O665" s="78"/>
      <c r="P665" s="78"/>
      <c r="Q665" s="78"/>
      <c r="R665" s="78"/>
      <c r="S665" s="78"/>
      <c r="T665" s="78"/>
      <c r="U665" s="78"/>
      <c r="V665" s="78"/>
      <c r="W665" s="78"/>
      <c r="X665" s="78"/>
      <c r="Y665" s="78"/>
      <c r="Z665" s="78"/>
    </row>
    <row r="666" ht="15.75" customHeight="1">
      <c r="A666" s="148"/>
      <c r="B666" s="164" t="s">
        <v>327</v>
      </c>
      <c r="C666" s="33"/>
      <c r="D666" s="33">
        <f>(142-11.51-52.9)*0.2+17.5*0.2</f>
        <v>19.018</v>
      </c>
      <c r="E666" s="33"/>
      <c r="F666" s="33"/>
      <c r="G666" s="155"/>
      <c r="H666" s="183"/>
      <c r="I666" s="161">
        <f>D666</f>
        <v>19.018</v>
      </c>
      <c r="J666" s="4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5"/>
    </row>
    <row r="667" ht="15.75" customHeight="1">
      <c r="A667" s="19"/>
      <c r="B667" s="38" t="s">
        <v>93</v>
      </c>
      <c r="C667" s="39"/>
      <c r="D667" s="39"/>
      <c r="E667" s="39"/>
      <c r="F667" s="39"/>
      <c r="G667" s="39"/>
      <c r="H667" s="40"/>
      <c r="I667" s="41">
        <f>SUM(I665:I666)</f>
        <v>388.568</v>
      </c>
      <c r="J667" s="4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5"/>
    </row>
    <row r="668" ht="15.75" customHeight="1">
      <c r="A668" s="19"/>
      <c r="B668" s="56"/>
      <c r="C668" s="90"/>
      <c r="D668" s="90"/>
      <c r="E668" s="90"/>
      <c r="F668" s="90"/>
      <c r="G668" s="91"/>
      <c r="H668" s="90"/>
      <c r="I668" s="90"/>
      <c r="J668" s="4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5"/>
    </row>
    <row r="669" ht="15.75" customHeight="1">
      <c r="A669" s="17" t="s">
        <v>328</v>
      </c>
      <c r="B669" s="56" t="s">
        <v>329</v>
      </c>
      <c r="C669" s="66"/>
      <c r="D669" s="15"/>
      <c r="E669" s="66"/>
      <c r="F669" s="66"/>
      <c r="G669" s="165"/>
      <c r="H669" s="66"/>
      <c r="I669" s="15"/>
      <c r="J669" s="4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5"/>
    </row>
    <row r="670" ht="15.75" customHeight="1">
      <c r="A670" s="12"/>
      <c r="B670" s="67"/>
      <c r="C670" s="66"/>
      <c r="D670" s="15"/>
      <c r="E670" s="66"/>
      <c r="F670" s="66"/>
      <c r="G670" s="165"/>
      <c r="H670" s="66"/>
      <c r="I670" s="66"/>
      <c r="J670" s="4"/>
      <c r="K670" s="4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5"/>
    </row>
    <row r="671" ht="15.75" customHeight="1">
      <c r="A671" s="19"/>
      <c r="B671" s="24" t="s">
        <v>6</v>
      </c>
      <c r="C671" s="25" t="s">
        <v>7</v>
      </c>
      <c r="D671" s="181" t="s">
        <v>274</v>
      </c>
      <c r="E671" s="43" t="s">
        <v>8</v>
      </c>
      <c r="F671" s="25" t="s">
        <v>9</v>
      </c>
      <c r="G671" s="84" t="s">
        <v>10</v>
      </c>
      <c r="H671" s="50"/>
      <c r="I671" s="44" t="s">
        <v>21</v>
      </c>
      <c r="J671" s="15"/>
      <c r="K671" s="15"/>
      <c r="L671" s="78"/>
      <c r="M671" s="78"/>
      <c r="N671" s="78"/>
      <c r="O671" s="78"/>
      <c r="P671" s="78"/>
      <c r="Q671" s="78"/>
      <c r="R671" s="78"/>
      <c r="S671" s="78"/>
      <c r="T671" s="78"/>
      <c r="U671" s="78"/>
      <c r="V671" s="78"/>
      <c r="W671" s="78"/>
      <c r="X671" s="78"/>
      <c r="Y671" s="78"/>
      <c r="Z671" s="78"/>
    </row>
    <row r="672" ht="15.75" customHeight="1">
      <c r="A672" s="19"/>
      <c r="B672" s="51" t="s">
        <v>24</v>
      </c>
      <c r="C672" s="52"/>
      <c r="D672" s="52"/>
      <c r="E672" s="52"/>
      <c r="F672" s="52"/>
      <c r="G672" s="53">
        <v>26.5</v>
      </c>
      <c r="H672" s="54"/>
      <c r="I672" s="55">
        <f t="shared" ref="I672:I674" si="52">G672</f>
        <v>26.5</v>
      </c>
      <c r="J672" s="29"/>
      <c r="K672" s="29"/>
      <c r="L672" s="30"/>
      <c r="M672" s="30"/>
      <c r="N672" s="30"/>
      <c r="O672" s="30"/>
      <c r="P672" s="30"/>
      <c r="Q672" s="30"/>
      <c r="R672" s="30"/>
      <c r="S672" s="30"/>
      <c r="T672" s="30"/>
      <c r="U672" s="30"/>
      <c r="V672" s="30"/>
      <c r="W672" s="30"/>
      <c r="X672" s="30"/>
      <c r="Y672" s="30"/>
      <c r="Z672" s="30"/>
    </row>
    <row r="673" ht="15.75" customHeight="1">
      <c r="A673" s="19"/>
      <c r="B673" s="51" t="s">
        <v>25</v>
      </c>
      <c r="C673" s="52"/>
      <c r="D673" s="52"/>
      <c r="E673" s="52"/>
      <c r="F673" s="52"/>
      <c r="G673" s="53">
        <v>28.3</v>
      </c>
      <c r="H673" s="54"/>
      <c r="I673" s="55">
        <f t="shared" si="52"/>
        <v>28.3</v>
      </c>
      <c r="J673" s="29"/>
      <c r="K673" s="29"/>
      <c r="L673" s="30"/>
      <c r="M673" s="30"/>
      <c r="N673" s="30"/>
      <c r="O673" s="30"/>
      <c r="P673" s="30"/>
      <c r="Q673" s="30"/>
      <c r="R673" s="30"/>
      <c r="S673" s="30"/>
      <c r="T673" s="30"/>
      <c r="U673" s="30"/>
      <c r="V673" s="30"/>
      <c r="W673" s="30"/>
      <c r="X673" s="30"/>
      <c r="Y673" s="30"/>
      <c r="Z673" s="30"/>
    </row>
    <row r="674" ht="15.75" customHeight="1">
      <c r="A674" s="19"/>
      <c r="B674" s="51" t="s">
        <v>26</v>
      </c>
      <c r="C674" s="52"/>
      <c r="D674" s="52"/>
      <c r="E674" s="52"/>
      <c r="F674" s="52"/>
      <c r="G674" s="53">
        <v>19.6</v>
      </c>
      <c r="H674" s="54"/>
      <c r="I674" s="55">
        <f t="shared" si="52"/>
        <v>19.6</v>
      </c>
      <c r="J674" s="29"/>
      <c r="K674" s="29"/>
      <c r="L674" s="30"/>
      <c r="M674" s="30"/>
      <c r="N674" s="30"/>
      <c r="O674" s="30"/>
      <c r="P674" s="30"/>
      <c r="Q674" s="30"/>
      <c r="R674" s="30"/>
      <c r="S674" s="30"/>
      <c r="T674" s="30"/>
      <c r="U674" s="30"/>
      <c r="V674" s="30"/>
      <c r="W674" s="30"/>
      <c r="X674" s="30"/>
      <c r="Y674" s="30"/>
      <c r="Z674" s="30"/>
    </row>
    <row r="675" ht="15.75" customHeight="1">
      <c r="A675" s="19"/>
      <c r="B675" s="38" t="s">
        <v>93</v>
      </c>
      <c r="C675" s="39"/>
      <c r="D675" s="39"/>
      <c r="E675" s="39"/>
      <c r="F675" s="39"/>
      <c r="G675" s="39"/>
      <c r="H675" s="40"/>
      <c r="I675" s="41">
        <f>SUM(I672:I674)</f>
        <v>74.4</v>
      </c>
      <c r="J675" s="4"/>
      <c r="K675" s="4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5"/>
    </row>
    <row r="676" ht="15.75" customHeight="1">
      <c r="A676" s="19"/>
      <c r="B676" s="184"/>
      <c r="C676" s="15"/>
      <c r="D676" s="15"/>
      <c r="E676" s="15"/>
      <c r="F676" s="15"/>
      <c r="G676" s="16"/>
      <c r="H676" s="15"/>
      <c r="I676" s="15"/>
      <c r="J676" s="4"/>
      <c r="K676" s="4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5"/>
    </row>
    <row r="677" ht="15.75" customHeight="1">
      <c r="A677" s="17" t="s">
        <v>330</v>
      </c>
      <c r="B677" s="56" t="s">
        <v>331</v>
      </c>
      <c r="C677" s="66"/>
      <c r="D677" s="15"/>
      <c r="E677" s="66"/>
      <c r="F677" s="66"/>
      <c r="G677" s="165"/>
      <c r="H677" s="66"/>
      <c r="I677" s="15"/>
      <c r="J677" s="4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5"/>
    </row>
    <row r="678" ht="15.75" customHeight="1">
      <c r="A678" s="12"/>
      <c r="B678" s="67"/>
      <c r="C678" s="66"/>
      <c r="D678" s="15"/>
      <c r="E678" s="66"/>
      <c r="F678" s="66"/>
      <c r="G678" s="165"/>
      <c r="H678" s="66"/>
      <c r="I678" s="66"/>
      <c r="J678" s="4"/>
      <c r="K678" s="4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5"/>
    </row>
    <row r="679" ht="15.75" customHeight="1">
      <c r="A679" s="19"/>
      <c r="B679" s="24" t="s">
        <v>6</v>
      </c>
      <c r="C679" s="25" t="s">
        <v>7</v>
      </c>
      <c r="D679" s="181" t="s">
        <v>274</v>
      </c>
      <c r="E679" s="43" t="s">
        <v>8</v>
      </c>
      <c r="F679" s="25" t="s">
        <v>9</v>
      </c>
      <c r="G679" s="84" t="s">
        <v>10</v>
      </c>
      <c r="H679" s="50"/>
      <c r="I679" s="44" t="s">
        <v>21</v>
      </c>
      <c r="J679" s="15"/>
      <c r="K679" s="15"/>
      <c r="L679" s="78"/>
      <c r="M679" s="78"/>
      <c r="N679" s="78"/>
      <c r="O679" s="78"/>
      <c r="P679" s="78"/>
      <c r="Q679" s="78"/>
      <c r="R679" s="78"/>
      <c r="S679" s="78"/>
      <c r="T679" s="78"/>
      <c r="U679" s="78"/>
      <c r="V679" s="78"/>
      <c r="W679" s="78"/>
      <c r="X679" s="78"/>
      <c r="Y679" s="78"/>
      <c r="Z679" s="78"/>
    </row>
    <row r="680" ht="15.75" customHeight="1">
      <c r="A680" s="19"/>
      <c r="B680" s="164" t="s">
        <v>332</v>
      </c>
      <c r="C680" s="33"/>
      <c r="D680" s="33"/>
      <c r="E680" s="33"/>
      <c r="F680" s="33"/>
      <c r="G680" s="155"/>
      <c r="H680" s="183"/>
      <c r="I680" s="161">
        <v>116.04</v>
      </c>
      <c r="J680" s="15"/>
      <c r="K680" s="15"/>
      <c r="L680" s="78"/>
      <c r="M680" s="78"/>
      <c r="N680" s="78"/>
      <c r="O680" s="78"/>
      <c r="P680" s="78"/>
      <c r="Q680" s="78"/>
      <c r="R680" s="78"/>
      <c r="S680" s="78"/>
      <c r="T680" s="78"/>
      <c r="U680" s="78"/>
      <c r="V680" s="78"/>
      <c r="W680" s="78"/>
      <c r="X680" s="78"/>
      <c r="Y680" s="78"/>
      <c r="Z680" s="78"/>
    </row>
    <row r="681" ht="15.75" customHeight="1">
      <c r="A681" s="19"/>
      <c r="B681" s="164" t="s">
        <v>333</v>
      </c>
      <c r="C681" s="33"/>
      <c r="D681" s="33"/>
      <c r="E681" s="33"/>
      <c r="F681" s="33"/>
      <c r="G681" s="155"/>
      <c r="H681" s="183"/>
      <c r="I681" s="161">
        <v>45.11</v>
      </c>
      <c r="J681" s="15"/>
      <c r="K681" s="15"/>
      <c r="L681" s="78"/>
      <c r="M681" s="78"/>
      <c r="N681" s="78"/>
      <c r="O681" s="78"/>
      <c r="P681" s="78"/>
      <c r="Q681" s="78"/>
      <c r="R681" s="78"/>
      <c r="S681" s="78"/>
      <c r="T681" s="78"/>
      <c r="U681" s="78"/>
      <c r="V681" s="78"/>
      <c r="W681" s="78"/>
      <c r="X681" s="78"/>
      <c r="Y681" s="78"/>
      <c r="Z681" s="78"/>
    </row>
    <row r="682" ht="15.75" customHeight="1">
      <c r="A682" s="19"/>
      <c r="B682" s="164" t="s">
        <v>24</v>
      </c>
      <c r="C682" s="33"/>
      <c r="D682" s="33"/>
      <c r="E682" s="33"/>
      <c r="F682" s="33"/>
      <c r="G682" s="155"/>
      <c r="H682" s="183"/>
      <c r="I682" s="161">
        <v>26.5</v>
      </c>
      <c r="J682" s="15"/>
      <c r="K682" s="15"/>
      <c r="L682" s="78"/>
      <c r="M682" s="78"/>
      <c r="N682" s="78"/>
      <c r="O682" s="78"/>
      <c r="P682" s="78"/>
      <c r="Q682" s="78"/>
      <c r="R682" s="78"/>
      <c r="S682" s="78"/>
      <c r="T682" s="78"/>
      <c r="U682" s="78"/>
      <c r="V682" s="78"/>
      <c r="W682" s="78"/>
      <c r="X682" s="78"/>
      <c r="Y682" s="78"/>
      <c r="Z682" s="78"/>
    </row>
    <row r="683" ht="15.75" customHeight="1">
      <c r="A683" s="19"/>
      <c r="B683" s="164" t="s">
        <v>25</v>
      </c>
      <c r="C683" s="33"/>
      <c r="D683" s="33"/>
      <c r="E683" s="33"/>
      <c r="F683" s="33"/>
      <c r="G683" s="155"/>
      <c r="H683" s="183"/>
      <c r="I683" s="161">
        <v>28.3</v>
      </c>
      <c r="J683" s="15"/>
      <c r="K683" s="15"/>
      <c r="L683" s="78"/>
      <c r="M683" s="78"/>
      <c r="N683" s="78"/>
      <c r="O683" s="78"/>
      <c r="P683" s="78"/>
      <c r="Q683" s="78"/>
      <c r="R683" s="78"/>
      <c r="S683" s="78"/>
      <c r="T683" s="78"/>
      <c r="U683" s="78"/>
      <c r="V683" s="78"/>
      <c r="W683" s="78"/>
      <c r="X683" s="78"/>
      <c r="Y683" s="78"/>
      <c r="Z683" s="78"/>
    </row>
    <row r="684" ht="15.75" customHeight="1">
      <c r="A684" s="19"/>
      <c r="B684" s="164" t="s">
        <v>26</v>
      </c>
      <c r="C684" s="33"/>
      <c r="D684" s="33"/>
      <c r="E684" s="33"/>
      <c r="F684" s="33"/>
      <c r="G684" s="155"/>
      <c r="H684" s="183"/>
      <c r="I684" s="161">
        <v>19.6</v>
      </c>
      <c r="J684" s="15"/>
      <c r="K684" s="15"/>
      <c r="L684" s="78"/>
      <c r="M684" s="78"/>
      <c r="N684" s="78"/>
      <c r="O684" s="78"/>
      <c r="P684" s="78"/>
      <c r="Q684" s="78"/>
      <c r="R684" s="78"/>
      <c r="S684" s="78"/>
      <c r="T684" s="78"/>
      <c r="U684" s="78"/>
      <c r="V684" s="78"/>
      <c r="W684" s="78"/>
      <c r="X684" s="78"/>
      <c r="Y684" s="78"/>
      <c r="Z684" s="78"/>
    </row>
    <row r="685" ht="15.75" customHeight="1">
      <c r="A685" s="19"/>
      <c r="B685" s="38" t="s">
        <v>93</v>
      </c>
      <c r="C685" s="39"/>
      <c r="D685" s="39"/>
      <c r="E685" s="39"/>
      <c r="F685" s="39"/>
      <c r="G685" s="39"/>
      <c r="H685" s="40"/>
      <c r="I685" s="41">
        <f>SUM(I680:I684)</f>
        <v>235.55</v>
      </c>
      <c r="J685" s="4"/>
      <c r="K685" s="4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5"/>
    </row>
    <row r="686" ht="15.75" customHeight="1">
      <c r="A686" s="19"/>
      <c r="B686" s="184"/>
      <c r="C686" s="15"/>
      <c r="D686" s="15"/>
      <c r="E686" s="15"/>
      <c r="F686" s="15"/>
      <c r="G686" s="16"/>
      <c r="H686" s="15"/>
      <c r="I686" s="15"/>
      <c r="J686" s="4"/>
      <c r="K686" s="4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5"/>
    </row>
    <row r="687" ht="15.0" customHeight="1">
      <c r="A687" s="17" t="s">
        <v>334</v>
      </c>
      <c r="B687" s="21" t="s">
        <v>335</v>
      </c>
      <c r="C687" s="89"/>
      <c r="D687" s="90"/>
      <c r="E687" s="89"/>
      <c r="F687" s="56"/>
      <c r="G687" s="91"/>
      <c r="H687" s="56"/>
      <c r="I687" s="90"/>
      <c r="J687" s="4"/>
      <c r="K687" s="4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5"/>
    </row>
    <row r="688" ht="15.75" customHeight="1">
      <c r="A688" s="12"/>
      <c r="B688" s="20"/>
      <c r="C688" s="15"/>
      <c r="D688" s="15"/>
      <c r="E688" s="15"/>
      <c r="F688" s="15"/>
      <c r="G688" s="16"/>
      <c r="H688" s="15"/>
      <c r="I688" s="15"/>
      <c r="J688" s="4"/>
      <c r="K688" s="4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5"/>
    </row>
    <row r="689" ht="15.75" customHeight="1">
      <c r="A689" s="19"/>
      <c r="B689" s="24" t="s">
        <v>6</v>
      </c>
      <c r="C689" s="25" t="s">
        <v>96</v>
      </c>
      <c r="D689" s="25" t="s">
        <v>10</v>
      </c>
      <c r="E689" s="43" t="s">
        <v>8</v>
      </c>
      <c r="F689" s="43" t="s">
        <v>9</v>
      </c>
      <c r="G689" s="26" t="s">
        <v>14</v>
      </c>
      <c r="H689" s="27"/>
      <c r="I689" s="44" t="s">
        <v>21</v>
      </c>
      <c r="J689" s="15"/>
      <c r="K689" s="15"/>
      <c r="L689" s="78"/>
      <c r="M689" s="78"/>
      <c r="N689" s="78"/>
      <c r="O689" s="78"/>
      <c r="P689" s="78"/>
      <c r="Q689" s="78"/>
      <c r="R689" s="78"/>
      <c r="S689" s="78"/>
      <c r="T689" s="78"/>
      <c r="U689" s="78"/>
      <c r="V689" s="78"/>
      <c r="W689" s="78"/>
      <c r="X689" s="78"/>
      <c r="Y689" s="78"/>
      <c r="Z689" s="78"/>
    </row>
    <row r="690" ht="15.75" customHeight="1">
      <c r="A690" s="19"/>
      <c r="B690" s="31" t="s">
        <v>336</v>
      </c>
      <c r="C690" s="52"/>
      <c r="D690" s="52"/>
      <c r="E690" s="52"/>
      <c r="F690" s="34"/>
      <c r="G690" s="35">
        <v>14.8</v>
      </c>
      <c r="H690" s="36"/>
      <c r="I690" s="92">
        <f t="shared" ref="I690:I694" si="53">G690</f>
        <v>14.8</v>
      </c>
      <c r="J690" s="15"/>
      <c r="K690" s="15"/>
      <c r="L690" s="78"/>
      <c r="M690" s="78"/>
      <c r="N690" s="78"/>
      <c r="O690" s="78"/>
      <c r="P690" s="78"/>
      <c r="Q690" s="78"/>
      <c r="R690" s="78"/>
      <c r="S690" s="78"/>
      <c r="T690" s="78"/>
      <c r="U690" s="78"/>
      <c r="V690" s="78"/>
      <c r="W690" s="78"/>
      <c r="X690" s="78"/>
      <c r="Y690" s="78"/>
      <c r="Z690" s="78"/>
    </row>
    <row r="691" ht="15.75" customHeight="1">
      <c r="A691" s="19"/>
      <c r="B691" s="31" t="s">
        <v>336</v>
      </c>
      <c r="C691" s="93"/>
      <c r="D691" s="52"/>
      <c r="E691" s="52"/>
      <c r="F691" s="34"/>
      <c r="G691" s="35">
        <v>10.02</v>
      </c>
      <c r="H691" s="36"/>
      <c r="I691" s="92">
        <f t="shared" si="53"/>
        <v>10.02</v>
      </c>
      <c r="J691" s="15"/>
      <c r="K691" s="15"/>
      <c r="L691" s="78"/>
      <c r="M691" s="78"/>
      <c r="N691" s="78"/>
      <c r="O691" s="78"/>
      <c r="P691" s="78"/>
      <c r="Q691" s="78"/>
      <c r="R691" s="78"/>
      <c r="S691" s="78"/>
      <c r="T691" s="78"/>
      <c r="U691" s="78"/>
      <c r="V691" s="78"/>
      <c r="W691" s="78"/>
      <c r="X691" s="78"/>
      <c r="Y691" s="78"/>
      <c r="Z691" s="78"/>
    </row>
    <row r="692" ht="15.75" customHeight="1">
      <c r="A692" s="19"/>
      <c r="B692" s="31" t="s">
        <v>336</v>
      </c>
      <c r="C692" s="93"/>
      <c r="D692" s="52"/>
      <c r="E692" s="52"/>
      <c r="F692" s="34"/>
      <c r="G692" s="35">
        <v>13.4</v>
      </c>
      <c r="H692" s="36"/>
      <c r="I692" s="92">
        <f t="shared" si="53"/>
        <v>13.4</v>
      </c>
      <c r="J692" s="15"/>
      <c r="K692" s="15"/>
      <c r="L692" s="78"/>
      <c r="M692" s="78"/>
      <c r="N692" s="78"/>
      <c r="O692" s="78"/>
      <c r="P692" s="78"/>
      <c r="Q692" s="78"/>
      <c r="R692" s="78"/>
      <c r="S692" s="78"/>
      <c r="T692" s="78"/>
      <c r="U692" s="78"/>
      <c r="V692" s="78"/>
      <c r="W692" s="78"/>
      <c r="X692" s="78"/>
      <c r="Y692" s="78"/>
      <c r="Z692" s="78"/>
    </row>
    <row r="693" ht="15.75" customHeight="1">
      <c r="A693" s="19"/>
      <c r="B693" s="31"/>
      <c r="C693" s="93"/>
      <c r="D693" s="52"/>
      <c r="E693" s="52"/>
      <c r="F693" s="34"/>
      <c r="G693" s="35">
        <v>14.6</v>
      </c>
      <c r="H693" s="36"/>
      <c r="I693" s="92">
        <f t="shared" si="53"/>
        <v>14.6</v>
      </c>
      <c r="J693" s="15"/>
      <c r="K693" s="15"/>
      <c r="L693" s="78"/>
      <c r="M693" s="78"/>
      <c r="N693" s="78"/>
      <c r="O693" s="78"/>
      <c r="P693" s="78"/>
      <c r="Q693" s="78"/>
      <c r="R693" s="78"/>
      <c r="S693" s="78"/>
      <c r="T693" s="78"/>
      <c r="U693" s="78"/>
      <c r="V693" s="78"/>
      <c r="W693" s="78"/>
      <c r="X693" s="78"/>
      <c r="Y693" s="78"/>
      <c r="Z693" s="78"/>
    </row>
    <row r="694" ht="15.75" customHeight="1">
      <c r="A694" s="19"/>
      <c r="B694" s="31"/>
      <c r="C694" s="93"/>
      <c r="D694" s="52"/>
      <c r="E694" s="52"/>
      <c r="F694" s="34"/>
      <c r="G694" s="35">
        <v>34.35</v>
      </c>
      <c r="H694" s="36"/>
      <c r="I694" s="92">
        <f t="shared" si="53"/>
        <v>34.35</v>
      </c>
      <c r="J694" s="15"/>
      <c r="K694" s="15"/>
      <c r="L694" s="78"/>
      <c r="M694" s="78"/>
      <c r="N694" s="78"/>
      <c r="O694" s="78"/>
      <c r="P694" s="78"/>
      <c r="Q694" s="78"/>
      <c r="R694" s="78"/>
      <c r="S694" s="78"/>
      <c r="T694" s="78"/>
      <c r="U694" s="78"/>
      <c r="V694" s="78"/>
      <c r="W694" s="78"/>
      <c r="X694" s="78"/>
      <c r="Y694" s="78"/>
      <c r="Z694" s="78"/>
    </row>
    <row r="695" ht="15.75" customHeight="1">
      <c r="A695" s="19"/>
      <c r="B695" s="38" t="s">
        <v>93</v>
      </c>
      <c r="C695" s="39"/>
      <c r="D695" s="39"/>
      <c r="E695" s="39"/>
      <c r="F695" s="39"/>
      <c r="G695" s="39"/>
      <c r="H695" s="40"/>
      <c r="I695" s="41">
        <f>SUM(I690:I694)</f>
        <v>87.17</v>
      </c>
      <c r="J695" s="4"/>
      <c r="K695" s="4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5"/>
    </row>
    <row r="696" ht="15.75" customHeight="1">
      <c r="A696" s="19"/>
      <c r="B696" s="56"/>
      <c r="C696" s="90"/>
      <c r="D696" s="90"/>
      <c r="E696" s="90"/>
      <c r="F696" s="90"/>
      <c r="G696" s="91"/>
      <c r="H696" s="90"/>
      <c r="I696" s="90"/>
      <c r="J696" s="4"/>
      <c r="K696" s="4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5"/>
    </row>
    <row r="697" ht="15.75" customHeight="1">
      <c r="A697" s="17" t="s">
        <v>337</v>
      </c>
      <c r="B697" s="56" t="s">
        <v>338</v>
      </c>
      <c r="C697" s="66"/>
      <c r="D697" s="15"/>
      <c r="E697" s="66"/>
      <c r="F697" s="66"/>
      <c r="G697" s="165"/>
      <c r="H697" s="66"/>
      <c r="I697" s="15"/>
      <c r="J697" s="4"/>
      <c r="K697" s="4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5"/>
    </row>
    <row r="698" ht="15.75" customHeight="1">
      <c r="A698" s="12"/>
      <c r="B698" s="67"/>
      <c r="C698" s="66"/>
      <c r="D698" s="15"/>
      <c r="E698" s="66"/>
      <c r="F698" s="66"/>
      <c r="G698" s="165"/>
      <c r="H698" s="66"/>
      <c r="I698" s="66"/>
      <c r="J698" s="4"/>
      <c r="K698" s="4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5"/>
    </row>
    <row r="699" ht="15.75" customHeight="1">
      <c r="A699" s="19"/>
      <c r="B699" s="24" t="s">
        <v>6</v>
      </c>
      <c r="C699" s="25" t="s">
        <v>7</v>
      </c>
      <c r="D699" s="181" t="s">
        <v>274</v>
      </c>
      <c r="E699" s="43" t="s">
        <v>8</v>
      </c>
      <c r="F699" s="25" t="s">
        <v>9</v>
      </c>
      <c r="G699" s="84" t="s">
        <v>10</v>
      </c>
      <c r="H699" s="50"/>
      <c r="I699" s="44" t="s">
        <v>21</v>
      </c>
      <c r="J699" s="15"/>
      <c r="K699" s="119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5"/>
    </row>
    <row r="700" ht="15.75" customHeight="1">
      <c r="A700" s="19"/>
      <c r="B700" s="164" t="s">
        <v>332</v>
      </c>
      <c r="C700" s="33"/>
      <c r="D700" s="33"/>
      <c r="E700" s="33"/>
      <c r="F700" s="33"/>
      <c r="G700" s="155"/>
      <c r="H700" s="183"/>
      <c r="I700" s="161">
        <v>116.04</v>
      </c>
      <c r="J700" s="15"/>
      <c r="K700" s="119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5"/>
    </row>
    <row r="701" ht="15.75" customHeight="1">
      <c r="A701" s="19"/>
      <c r="B701" s="164" t="s">
        <v>333</v>
      </c>
      <c r="C701" s="33"/>
      <c r="D701" s="33"/>
      <c r="E701" s="33"/>
      <c r="F701" s="33"/>
      <c r="G701" s="155"/>
      <c r="H701" s="183"/>
      <c r="I701" s="161">
        <v>45.11</v>
      </c>
      <c r="J701" s="15"/>
      <c r="K701" s="119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5"/>
    </row>
    <row r="702" ht="15.75" customHeight="1">
      <c r="A702" s="19"/>
      <c r="B702" s="164" t="s">
        <v>24</v>
      </c>
      <c r="C702" s="33"/>
      <c r="D702" s="33"/>
      <c r="E702" s="33"/>
      <c r="F702" s="33"/>
      <c r="G702" s="155"/>
      <c r="H702" s="183"/>
      <c r="I702" s="161">
        <v>26.5</v>
      </c>
      <c r="J702" s="15"/>
      <c r="K702" s="4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5"/>
    </row>
    <row r="703" ht="15.75" customHeight="1">
      <c r="A703" s="19"/>
      <c r="B703" s="164" t="s">
        <v>25</v>
      </c>
      <c r="C703" s="33"/>
      <c r="D703" s="33"/>
      <c r="E703" s="33"/>
      <c r="F703" s="33"/>
      <c r="G703" s="155"/>
      <c r="H703" s="183"/>
      <c r="I703" s="161">
        <v>28.3</v>
      </c>
      <c r="J703" s="15"/>
      <c r="K703" s="119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5"/>
    </row>
    <row r="704" ht="15.75" customHeight="1">
      <c r="A704" s="19"/>
      <c r="B704" s="164" t="s">
        <v>26</v>
      </c>
      <c r="C704" s="33"/>
      <c r="D704" s="33"/>
      <c r="E704" s="33"/>
      <c r="F704" s="33"/>
      <c r="G704" s="155"/>
      <c r="H704" s="183"/>
      <c r="I704" s="161">
        <v>19.6</v>
      </c>
      <c r="J704" s="15"/>
      <c r="K704" s="119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5"/>
    </row>
    <row r="705" ht="15.75" customHeight="1">
      <c r="A705" s="19"/>
      <c r="B705" s="38" t="s">
        <v>93</v>
      </c>
      <c r="C705" s="39"/>
      <c r="D705" s="39"/>
      <c r="E705" s="39"/>
      <c r="F705" s="39"/>
      <c r="G705" s="39"/>
      <c r="H705" s="40"/>
      <c r="I705" s="41">
        <f>SUM(I700:I704)</f>
        <v>235.55</v>
      </c>
      <c r="J705" s="4"/>
      <c r="K705" s="119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5"/>
    </row>
    <row r="706" ht="15.75" customHeight="1">
      <c r="A706" s="19"/>
      <c r="B706" s="184"/>
      <c r="C706" s="15"/>
      <c r="D706" s="15"/>
      <c r="E706" s="15"/>
      <c r="F706" s="15"/>
      <c r="G706" s="16"/>
      <c r="H706" s="15"/>
      <c r="I706" s="15"/>
      <c r="J706" s="4"/>
      <c r="K706" s="119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5"/>
    </row>
    <row r="707" ht="15.75" customHeight="1">
      <c r="A707" s="17" t="s">
        <v>337</v>
      </c>
      <c r="B707" s="21" t="s">
        <v>339</v>
      </c>
      <c r="C707" s="66"/>
      <c r="D707" s="15"/>
      <c r="E707" s="66"/>
      <c r="F707" s="66"/>
      <c r="G707" s="165"/>
      <c r="H707" s="66"/>
      <c r="I707" s="15"/>
      <c r="J707" s="4"/>
      <c r="K707" s="119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5"/>
    </row>
    <row r="708" ht="15.75" customHeight="1">
      <c r="A708" s="12"/>
      <c r="B708" s="67"/>
      <c r="C708" s="66"/>
      <c r="D708" s="15"/>
      <c r="E708" s="66"/>
      <c r="F708" s="66"/>
      <c r="G708" s="165"/>
      <c r="H708" s="66"/>
      <c r="I708" s="66"/>
      <c r="J708" s="4"/>
      <c r="K708" s="119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5"/>
    </row>
    <row r="709" ht="15.75" customHeight="1">
      <c r="A709" s="19"/>
      <c r="B709" s="24" t="s">
        <v>6</v>
      </c>
      <c r="C709" s="25" t="s">
        <v>7</v>
      </c>
      <c r="D709" s="181" t="s">
        <v>274</v>
      </c>
      <c r="E709" s="43" t="s">
        <v>8</v>
      </c>
      <c r="F709" s="25" t="s">
        <v>9</v>
      </c>
      <c r="G709" s="84" t="s">
        <v>10</v>
      </c>
      <c r="H709" s="50"/>
      <c r="I709" s="43" t="s">
        <v>8</v>
      </c>
      <c r="J709" s="4"/>
      <c r="K709" s="4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5"/>
    </row>
    <row r="710" ht="15.75" customHeight="1">
      <c r="A710" s="19"/>
      <c r="B710" s="125" t="s">
        <v>280</v>
      </c>
      <c r="C710" s="33"/>
      <c r="D710" s="33"/>
      <c r="E710" s="33">
        <f>6.5+0.75+0.75+0.5+0.75+0.25+1.25+1.5+1</f>
        <v>13.25</v>
      </c>
      <c r="F710" s="33"/>
      <c r="G710" s="155"/>
      <c r="H710" s="183"/>
      <c r="I710" s="185">
        <f t="shared" ref="I710:I711" si="54">E710</f>
        <v>13.25</v>
      </c>
      <c r="J710" s="4"/>
      <c r="K710" s="4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5"/>
    </row>
    <row r="711" ht="15.75" customHeight="1">
      <c r="A711" s="19"/>
      <c r="B711" s="125" t="s">
        <v>281</v>
      </c>
      <c r="C711" s="33"/>
      <c r="D711" s="33"/>
      <c r="E711" s="33">
        <f>1.25+0.75+0.75*3+1.5+1.5+7.25+0.75*2+0.5+1.25</f>
        <v>17.75</v>
      </c>
      <c r="F711" s="33"/>
      <c r="G711" s="155"/>
      <c r="H711" s="183"/>
      <c r="I711" s="185">
        <f t="shared" si="54"/>
        <v>17.75</v>
      </c>
      <c r="J711" s="4"/>
      <c r="K711" s="4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5"/>
    </row>
    <row r="712" ht="15.75" customHeight="1">
      <c r="A712" s="19"/>
      <c r="B712" s="82" t="s">
        <v>340</v>
      </c>
      <c r="C712" s="39"/>
      <c r="D712" s="39"/>
      <c r="E712" s="39"/>
      <c r="F712" s="39"/>
      <c r="G712" s="39"/>
      <c r="H712" s="40"/>
      <c r="I712" s="41">
        <f>SUM(I710:I711)</f>
        <v>31</v>
      </c>
      <c r="J712" s="4"/>
      <c r="K712" s="4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5"/>
    </row>
    <row r="713" ht="15.75" customHeight="1">
      <c r="A713" s="19"/>
      <c r="B713" s="184"/>
      <c r="C713" s="15"/>
      <c r="D713" s="15"/>
      <c r="E713" s="15"/>
      <c r="F713" s="15"/>
      <c r="G713" s="16"/>
      <c r="H713" s="15"/>
      <c r="I713" s="15"/>
      <c r="J713" s="4"/>
      <c r="K713" s="4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5"/>
    </row>
    <row r="714" ht="15.75" customHeight="1">
      <c r="A714" s="140" t="s">
        <v>341</v>
      </c>
      <c r="B714" s="178" t="s">
        <v>342</v>
      </c>
      <c r="C714" s="89"/>
      <c r="D714" s="89"/>
      <c r="E714" s="89"/>
      <c r="F714" s="89"/>
      <c r="G714" s="16"/>
      <c r="H714" s="15"/>
      <c r="I714" s="15"/>
      <c r="J714" s="4"/>
      <c r="K714" s="4"/>
      <c r="L714" s="78"/>
      <c r="M714" s="177"/>
      <c r="N714" s="78"/>
      <c r="O714" s="78"/>
      <c r="P714" s="78"/>
      <c r="Q714" s="78"/>
      <c r="R714" s="78"/>
      <c r="S714" s="78"/>
      <c r="T714" s="5"/>
      <c r="U714" s="5"/>
      <c r="V714" s="5"/>
      <c r="W714" s="5"/>
      <c r="X714" s="5"/>
      <c r="Y714" s="5"/>
      <c r="Z714" s="5"/>
    </row>
    <row r="715" ht="15.75" customHeight="1">
      <c r="A715" s="19"/>
      <c r="B715" s="184"/>
      <c r="C715" s="15"/>
      <c r="D715" s="15"/>
      <c r="E715" s="15"/>
      <c r="F715" s="15"/>
      <c r="G715" s="16"/>
      <c r="H715" s="15"/>
      <c r="I715" s="15"/>
      <c r="J715" s="4"/>
      <c r="K715" s="4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5"/>
    </row>
    <row r="716" ht="15.75" customHeight="1">
      <c r="A716" s="58" t="s">
        <v>343</v>
      </c>
      <c r="B716" s="135" t="s">
        <v>344</v>
      </c>
      <c r="C716" s="89"/>
      <c r="D716" s="90"/>
      <c r="E716" s="89"/>
      <c r="F716" s="56"/>
      <c r="G716" s="91"/>
      <c r="H716" s="56"/>
      <c r="I716" s="90"/>
      <c r="J716" s="4"/>
      <c r="K716" s="4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5"/>
    </row>
    <row r="717" ht="15.75" customHeight="1">
      <c r="A717" s="12"/>
      <c r="B717" s="20"/>
      <c r="C717" s="15"/>
      <c r="D717" s="15"/>
      <c r="E717" s="15"/>
      <c r="F717" s="15"/>
      <c r="G717" s="16"/>
      <c r="H717" s="15"/>
      <c r="I717" s="15"/>
      <c r="J717" s="4"/>
      <c r="K717" s="4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5"/>
    </row>
    <row r="718" ht="15.75" customHeight="1">
      <c r="A718" s="19"/>
      <c r="B718" s="24" t="s">
        <v>6</v>
      </c>
      <c r="C718" s="25" t="s">
        <v>7</v>
      </c>
      <c r="D718" s="43" t="s">
        <v>8</v>
      </c>
      <c r="E718" s="43" t="s">
        <v>108</v>
      </c>
      <c r="F718" s="43" t="s">
        <v>9</v>
      </c>
      <c r="G718" s="26"/>
      <c r="H718" s="27"/>
      <c r="I718" s="85" t="s">
        <v>208</v>
      </c>
      <c r="J718" s="4"/>
      <c r="K718" s="4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5"/>
    </row>
    <row r="719" ht="15.75" customHeight="1">
      <c r="A719" s="19"/>
      <c r="B719" s="57" t="s">
        <v>332</v>
      </c>
      <c r="C719" s="93"/>
      <c r="D719" s="60">
        <v>134.42</v>
      </c>
      <c r="E719" s="52"/>
      <c r="F719" s="34"/>
      <c r="G719" s="35"/>
      <c r="H719" s="36"/>
      <c r="I719" s="118">
        <v>135.1</v>
      </c>
      <c r="J719" s="4"/>
      <c r="K719" s="4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5"/>
    </row>
    <row r="720" ht="15.75" customHeight="1">
      <c r="A720" s="19"/>
      <c r="B720" s="38" t="s">
        <v>210</v>
      </c>
      <c r="C720" s="39"/>
      <c r="D720" s="39"/>
      <c r="E720" s="39"/>
      <c r="F720" s="39"/>
      <c r="G720" s="39"/>
      <c r="H720" s="40"/>
      <c r="I720" s="41">
        <f>SUM(I719)</f>
        <v>135.1</v>
      </c>
      <c r="J720" s="4"/>
      <c r="K720" s="4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5"/>
    </row>
    <row r="721" ht="15.75" customHeight="1">
      <c r="A721" s="19"/>
      <c r="B721" s="184"/>
      <c r="C721" s="15"/>
      <c r="D721" s="15"/>
      <c r="E721" s="15"/>
      <c r="F721" s="15"/>
      <c r="G721" s="16"/>
      <c r="H721" s="15"/>
      <c r="I721" s="15"/>
      <c r="J721" s="4"/>
      <c r="K721" s="4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5"/>
    </row>
    <row r="722" ht="15.75" customHeight="1">
      <c r="A722" s="58" t="s">
        <v>343</v>
      </c>
      <c r="B722" s="135" t="s">
        <v>345</v>
      </c>
      <c r="C722" s="89"/>
      <c r="D722" s="90"/>
      <c r="E722" s="89"/>
      <c r="F722" s="56"/>
      <c r="G722" s="91"/>
      <c r="H722" s="56"/>
      <c r="I722" s="90"/>
      <c r="J722" s="4"/>
      <c r="K722" s="4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5"/>
    </row>
    <row r="723" ht="15.75" customHeight="1">
      <c r="A723" s="12"/>
      <c r="B723" s="20"/>
      <c r="C723" s="15"/>
      <c r="D723" s="15"/>
      <c r="E723" s="15"/>
      <c r="F723" s="15"/>
      <c r="G723" s="16"/>
      <c r="H723" s="15"/>
      <c r="I723" s="15"/>
      <c r="J723" s="4"/>
      <c r="K723" s="4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5"/>
    </row>
    <row r="724" ht="15.75" customHeight="1">
      <c r="A724" s="19"/>
      <c r="B724" s="24" t="s">
        <v>6</v>
      </c>
      <c r="C724" s="25" t="s">
        <v>7</v>
      </c>
      <c r="D724" s="43" t="s">
        <v>8</v>
      </c>
      <c r="E724" s="43" t="s">
        <v>108</v>
      </c>
      <c r="F724" s="43" t="s">
        <v>9</v>
      </c>
      <c r="G724" s="26"/>
      <c r="H724" s="27"/>
      <c r="I724" s="85" t="s">
        <v>208</v>
      </c>
      <c r="J724" s="4"/>
      <c r="K724" s="4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5"/>
    </row>
    <row r="725" ht="15.75" customHeight="1">
      <c r="A725" s="19"/>
      <c r="B725" s="57" t="s">
        <v>346</v>
      </c>
      <c r="C725" s="93"/>
      <c r="D725" s="60">
        <v>3.55</v>
      </c>
      <c r="E725" s="52"/>
      <c r="F725" s="34"/>
      <c r="G725" s="35"/>
      <c r="H725" s="36"/>
      <c r="I725" s="118">
        <f>D725</f>
        <v>3.55</v>
      </c>
      <c r="J725" s="4"/>
      <c r="K725" s="4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5"/>
    </row>
    <row r="726" ht="15.75" customHeight="1">
      <c r="A726" s="19"/>
      <c r="B726" s="38" t="s">
        <v>210</v>
      </c>
      <c r="C726" s="39"/>
      <c r="D726" s="39"/>
      <c r="E726" s="39"/>
      <c r="F726" s="39"/>
      <c r="G726" s="39"/>
      <c r="H726" s="40"/>
      <c r="I726" s="41">
        <f>SUM(I725)</f>
        <v>3.55</v>
      </c>
      <c r="J726" s="4"/>
      <c r="K726" s="4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5"/>
    </row>
    <row r="727" ht="15.75" customHeight="1">
      <c r="A727" s="19"/>
      <c r="B727" s="184"/>
      <c r="C727" s="15"/>
      <c r="D727" s="15"/>
      <c r="E727" s="15"/>
      <c r="F727" s="15"/>
      <c r="G727" s="16"/>
      <c r="H727" s="15"/>
      <c r="I727" s="15"/>
      <c r="J727" s="4"/>
      <c r="K727" s="4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5"/>
    </row>
    <row r="728" ht="15.75" customHeight="1">
      <c r="A728" s="186" t="s">
        <v>347</v>
      </c>
      <c r="B728" s="178" t="s">
        <v>348</v>
      </c>
      <c r="C728" s="89"/>
      <c r="D728" s="89"/>
      <c r="E728" s="89"/>
      <c r="F728" s="89"/>
      <c r="G728" s="16"/>
      <c r="H728" s="15"/>
      <c r="I728" s="15"/>
      <c r="J728" s="4"/>
      <c r="K728" s="4"/>
      <c r="L728" s="78"/>
      <c r="M728" s="177"/>
      <c r="N728" s="78"/>
      <c r="O728" s="78"/>
      <c r="P728" s="78"/>
      <c r="Q728" s="78"/>
      <c r="R728" s="78"/>
      <c r="S728" s="78"/>
      <c r="T728" s="5"/>
      <c r="U728" s="5"/>
      <c r="V728" s="5"/>
      <c r="W728" s="5"/>
      <c r="X728" s="5"/>
      <c r="Y728" s="5"/>
      <c r="Z728" s="5"/>
    </row>
    <row r="729" ht="15.75" customHeight="1">
      <c r="A729" s="19"/>
      <c r="B729" s="184"/>
      <c r="C729" s="15"/>
      <c r="D729" s="15"/>
      <c r="E729" s="15"/>
      <c r="F729" s="15"/>
      <c r="G729" s="16"/>
      <c r="H729" s="15"/>
      <c r="I729" s="15"/>
      <c r="J729" s="4"/>
      <c r="K729" s="4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5"/>
    </row>
    <row r="730" ht="15.75" customHeight="1">
      <c r="A730" s="58" t="s">
        <v>349</v>
      </c>
      <c r="B730" s="135" t="s">
        <v>350</v>
      </c>
      <c r="C730" s="89"/>
      <c r="D730" s="90"/>
      <c r="E730" s="89"/>
      <c r="F730" s="56"/>
      <c r="G730" s="91"/>
      <c r="H730" s="56"/>
      <c r="I730" s="90"/>
      <c r="J730" s="4"/>
      <c r="K730" s="4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5"/>
    </row>
    <row r="731" ht="15.75" customHeight="1">
      <c r="A731" s="12"/>
      <c r="B731" s="20"/>
      <c r="C731" s="15"/>
      <c r="D731" s="15"/>
      <c r="E731" s="15"/>
      <c r="F731" s="15"/>
      <c r="G731" s="16"/>
      <c r="H731" s="15"/>
      <c r="I731" s="15"/>
      <c r="J731" s="4"/>
      <c r="K731" s="4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5"/>
    </row>
    <row r="732" ht="15.75" customHeight="1">
      <c r="A732" s="19"/>
      <c r="B732" s="24" t="s">
        <v>6</v>
      </c>
      <c r="C732" s="25" t="s">
        <v>7</v>
      </c>
      <c r="D732" s="43" t="s">
        <v>8</v>
      </c>
      <c r="E732" s="43" t="s">
        <v>108</v>
      </c>
      <c r="F732" s="43" t="s">
        <v>9</v>
      </c>
      <c r="G732" s="26"/>
      <c r="H732" s="27"/>
      <c r="I732" s="85" t="s">
        <v>208</v>
      </c>
      <c r="J732" s="4"/>
      <c r="K732" s="4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5"/>
    </row>
    <row r="733" ht="15.75" customHeight="1">
      <c r="A733" s="19"/>
      <c r="B733" s="57" t="s">
        <v>245</v>
      </c>
      <c r="C733" s="111">
        <v>4.0</v>
      </c>
      <c r="D733" s="60">
        <v>7.6</v>
      </c>
      <c r="E733" s="52"/>
      <c r="F733" s="34"/>
      <c r="G733" s="35"/>
      <c r="H733" s="36"/>
      <c r="I733" s="92">
        <f>C733*D733</f>
        <v>30.4</v>
      </c>
      <c r="J733" s="4"/>
      <c r="K733" s="4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5"/>
    </row>
    <row r="734" ht="15.75" customHeight="1">
      <c r="A734" s="19"/>
      <c r="B734" s="38" t="s">
        <v>210</v>
      </c>
      <c r="C734" s="39"/>
      <c r="D734" s="39"/>
      <c r="E734" s="39"/>
      <c r="F734" s="39"/>
      <c r="G734" s="39"/>
      <c r="H734" s="40"/>
      <c r="I734" s="41">
        <f>SUM(I733)</f>
        <v>30.4</v>
      </c>
      <c r="J734" s="4"/>
      <c r="K734" s="4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5"/>
    </row>
    <row r="735" ht="15.75" customHeight="1">
      <c r="A735" s="19"/>
      <c r="B735" s="184"/>
      <c r="C735" s="15"/>
      <c r="D735" s="15"/>
      <c r="E735" s="15"/>
      <c r="F735" s="15"/>
      <c r="G735" s="16"/>
      <c r="H735" s="15"/>
      <c r="I735" s="15"/>
      <c r="J735" s="4"/>
      <c r="K735" s="4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5"/>
    </row>
    <row r="736" ht="15.75" customHeight="1">
      <c r="A736" s="58" t="s">
        <v>351</v>
      </c>
      <c r="B736" s="135" t="s">
        <v>352</v>
      </c>
      <c r="C736" s="89"/>
      <c r="D736" s="90"/>
      <c r="E736" s="89"/>
      <c r="F736" s="56"/>
      <c r="G736" s="91"/>
      <c r="H736" s="56"/>
      <c r="I736" s="90"/>
      <c r="J736" s="4"/>
      <c r="K736" s="4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5"/>
    </row>
    <row r="737" ht="15.75" customHeight="1">
      <c r="A737" s="12"/>
      <c r="B737" s="20"/>
      <c r="C737" s="15"/>
      <c r="D737" s="15"/>
      <c r="E737" s="15"/>
      <c r="F737" s="15"/>
      <c r="G737" s="16"/>
      <c r="H737" s="15"/>
      <c r="I737" s="15"/>
      <c r="J737" s="4"/>
      <c r="K737" s="4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5"/>
    </row>
    <row r="738" ht="15.75" customHeight="1">
      <c r="A738" s="19"/>
      <c r="B738" s="24" t="s">
        <v>6</v>
      </c>
      <c r="C738" s="25" t="s">
        <v>7</v>
      </c>
      <c r="D738" s="43" t="s">
        <v>8</v>
      </c>
      <c r="E738" s="43" t="s">
        <v>108</v>
      </c>
      <c r="F738" s="43" t="s">
        <v>9</v>
      </c>
      <c r="G738" s="26"/>
      <c r="H738" s="27"/>
      <c r="I738" s="25" t="s">
        <v>7</v>
      </c>
      <c r="J738" s="4"/>
      <c r="K738" s="4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5"/>
    </row>
    <row r="739" ht="15.75" customHeight="1">
      <c r="A739" s="19"/>
      <c r="B739" s="57" t="s">
        <v>245</v>
      </c>
      <c r="C739" s="111">
        <v>4.0</v>
      </c>
      <c r="D739" s="60"/>
      <c r="E739" s="52"/>
      <c r="F739" s="34"/>
      <c r="G739" s="35"/>
      <c r="H739" s="36"/>
      <c r="I739" s="92">
        <f>C739</f>
        <v>4</v>
      </c>
      <c r="J739" s="4"/>
      <c r="K739" s="4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5"/>
    </row>
    <row r="740" ht="15.75" customHeight="1">
      <c r="A740" s="19"/>
      <c r="B740" s="82" t="s">
        <v>353</v>
      </c>
      <c r="C740" s="39"/>
      <c r="D740" s="39"/>
      <c r="E740" s="39"/>
      <c r="F740" s="39"/>
      <c r="G740" s="39"/>
      <c r="H740" s="40"/>
      <c r="I740" s="41">
        <f>SUM(I739)</f>
        <v>4</v>
      </c>
      <c r="J740" s="4"/>
      <c r="K740" s="4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5"/>
    </row>
    <row r="741" ht="15.75" customHeight="1">
      <c r="A741" s="19"/>
      <c r="B741" s="184"/>
      <c r="C741" s="15"/>
      <c r="D741" s="15"/>
      <c r="E741" s="15"/>
      <c r="F741" s="15"/>
      <c r="G741" s="16"/>
      <c r="H741" s="15"/>
      <c r="I741" s="15"/>
      <c r="J741" s="4"/>
      <c r="K741" s="4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5"/>
    </row>
    <row r="742" ht="15.75" customHeight="1">
      <c r="A742" s="58" t="s">
        <v>351</v>
      </c>
      <c r="B742" s="135" t="s">
        <v>354</v>
      </c>
      <c r="C742" s="89"/>
      <c r="D742" s="90"/>
      <c r="E742" s="89"/>
      <c r="F742" s="56"/>
      <c r="G742" s="91"/>
      <c r="H742" s="56"/>
      <c r="I742" s="90"/>
      <c r="J742" s="4"/>
      <c r="K742" s="4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5"/>
    </row>
    <row r="743" ht="15.75" customHeight="1">
      <c r="A743" s="12"/>
      <c r="B743" s="20"/>
      <c r="C743" s="15"/>
      <c r="D743" s="15"/>
      <c r="E743" s="15"/>
      <c r="F743" s="15"/>
      <c r="G743" s="16"/>
      <c r="H743" s="15"/>
      <c r="I743" s="15"/>
      <c r="J743" s="4"/>
      <c r="K743" s="4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5"/>
    </row>
    <row r="744" ht="15.75" customHeight="1">
      <c r="A744" s="19"/>
      <c r="B744" s="24" t="s">
        <v>6</v>
      </c>
      <c r="C744" s="25" t="s">
        <v>7</v>
      </c>
      <c r="D744" s="43" t="s">
        <v>8</v>
      </c>
      <c r="E744" s="43" t="s">
        <v>108</v>
      </c>
      <c r="F744" s="43" t="s">
        <v>9</v>
      </c>
      <c r="G744" s="26"/>
      <c r="H744" s="27"/>
      <c r="I744" s="25" t="s">
        <v>7</v>
      </c>
      <c r="J744" s="4"/>
      <c r="K744" s="4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5"/>
    </row>
    <row r="745" ht="15.75" customHeight="1">
      <c r="A745" s="19"/>
      <c r="B745" s="57" t="s">
        <v>212</v>
      </c>
      <c r="C745" s="111">
        <v>2.0</v>
      </c>
      <c r="D745" s="60"/>
      <c r="E745" s="52"/>
      <c r="F745" s="34"/>
      <c r="G745" s="35"/>
      <c r="H745" s="36"/>
      <c r="I745" s="92">
        <f>C745</f>
        <v>2</v>
      </c>
      <c r="J745" s="4"/>
      <c r="K745" s="4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5"/>
    </row>
    <row r="746" ht="15.75" customHeight="1">
      <c r="A746" s="19"/>
      <c r="B746" s="82" t="s">
        <v>353</v>
      </c>
      <c r="C746" s="39"/>
      <c r="D746" s="39"/>
      <c r="E746" s="39"/>
      <c r="F746" s="39"/>
      <c r="G746" s="39"/>
      <c r="H746" s="40"/>
      <c r="I746" s="41">
        <f>SUM(I745)</f>
        <v>2</v>
      </c>
      <c r="J746" s="4"/>
      <c r="K746" s="4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5"/>
    </row>
    <row r="747" ht="15.75" customHeight="1">
      <c r="A747" s="19"/>
      <c r="B747" s="184"/>
      <c r="C747" s="15"/>
      <c r="D747" s="15"/>
      <c r="E747" s="15"/>
      <c r="F747" s="15"/>
      <c r="G747" s="16"/>
      <c r="H747" s="15"/>
      <c r="I747" s="15"/>
      <c r="J747" s="4"/>
      <c r="K747" s="4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5"/>
    </row>
    <row r="748" ht="15.75" customHeight="1">
      <c r="A748" s="19"/>
      <c r="B748" s="184"/>
      <c r="C748" s="15"/>
      <c r="D748" s="15"/>
      <c r="E748" s="15"/>
      <c r="F748" s="15"/>
      <c r="G748" s="16"/>
      <c r="H748" s="15"/>
      <c r="I748" s="15"/>
      <c r="J748" s="4"/>
      <c r="K748" s="4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5"/>
    </row>
    <row r="749" ht="15.75" customHeight="1">
      <c r="A749" s="186" t="s">
        <v>355</v>
      </c>
      <c r="B749" s="187" t="s">
        <v>356</v>
      </c>
      <c r="C749" s="89"/>
      <c r="D749" s="89"/>
      <c r="E749" s="89"/>
      <c r="F749" s="89"/>
      <c r="G749" s="16"/>
      <c r="H749" s="15"/>
      <c r="I749" s="15"/>
      <c r="J749" s="4"/>
      <c r="K749" s="4"/>
      <c r="L749" s="78"/>
      <c r="M749" s="177"/>
      <c r="N749" s="78"/>
      <c r="O749" s="78"/>
      <c r="P749" s="78"/>
      <c r="Q749" s="78"/>
      <c r="R749" s="78"/>
      <c r="S749" s="78"/>
      <c r="T749" s="5"/>
      <c r="U749" s="5"/>
      <c r="V749" s="5"/>
      <c r="W749" s="5"/>
      <c r="X749" s="5"/>
      <c r="Y749" s="5"/>
      <c r="Z749" s="5"/>
    </row>
    <row r="750" ht="15.75" customHeight="1">
      <c r="A750" s="19"/>
      <c r="B750" s="184"/>
      <c r="C750" s="15"/>
      <c r="D750" s="15"/>
      <c r="E750" s="15"/>
      <c r="F750" s="15"/>
      <c r="G750" s="16"/>
      <c r="H750" s="15"/>
      <c r="I750" s="15"/>
      <c r="J750" s="4"/>
      <c r="K750" s="4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5"/>
    </row>
    <row r="751" ht="15.75" customHeight="1">
      <c r="A751" s="186" t="s">
        <v>357</v>
      </c>
      <c r="B751" s="187" t="s">
        <v>358</v>
      </c>
      <c r="C751" s="89"/>
      <c r="D751" s="89"/>
      <c r="E751" s="89"/>
      <c r="F751" s="89"/>
      <c r="G751" s="16"/>
      <c r="H751" s="15"/>
      <c r="I751" s="15"/>
      <c r="J751" s="4"/>
      <c r="K751" s="4"/>
      <c r="L751" s="78"/>
      <c r="M751" s="177"/>
      <c r="N751" s="78"/>
      <c r="O751" s="78"/>
      <c r="P751" s="78"/>
      <c r="Q751" s="78"/>
      <c r="R751" s="78"/>
      <c r="S751" s="78"/>
      <c r="T751" s="5"/>
      <c r="U751" s="5"/>
      <c r="V751" s="5"/>
      <c r="W751" s="5"/>
      <c r="X751" s="5"/>
      <c r="Y751" s="5"/>
      <c r="Z751" s="5"/>
    </row>
    <row r="752" ht="15.75" customHeight="1">
      <c r="A752" s="19"/>
      <c r="B752" s="184"/>
      <c r="C752" s="15"/>
      <c r="D752" s="15"/>
      <c r="E752" s="15"/>
      <c r="F752" s="15"/>
      <c r="G752" s="16"/>
      <c r="H752" s="15"/>
      <c r="I752" s="15"/>
      <c r="J752" s="4"/>
      <c r="K752" s="4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5"/>
    </row>
    <row r="753" ht="15.75" customHeight="1">
      <c r="A753" s="58" t="s">
        <v>359</v>
      </c>
      <c r="B753" s="21" t="s">
        <v>360</v>
      </c>
      <c r="C753" s="66"/>
      <c r="D753" s="15"/>
      <c r="E753" s="66"/>
      <c r="F753" s="66"/>
      <c r="G753" s="165"/>
      <c r="H753" s="66"/>
      <c r="I753" s="15"/>
      <c r="J753" s="4"/>
      <c r="K753" s="4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5"/>
    </row>
    <row r="754" ht="15.75" customHeight="1">
      <c r="A754" s="12"/>
      <c r="B754" s="67"/>
      <c r="C754" s="66"/>
      <c r="D754" s="15"/>
      <c r="E754" s="66"/>
      <c r="F754" s="66"/>
      <c r="G754" s="165"/>
      <c r="H754" s="66"/>
      <c r="I754" s="66"/>
      <c r="J754" s="4"/>
      <c r="K754" s="4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5"/>
    </row>
    <row r="755" ht="15.75" customHeight="1">
      <c r="A755" s="19"/>
      <c r="B755" s="24" t="s">
        <v>6</v>
      </c>
      <c r="C755" s="25" t="s">
        <v>7</v>
      </c>
      <c r="D755" s="181" t="s">
        <v>274</v>
      </c>
      <c r="E755" s="43" t="s">
        <v>8</v>
      </c>
      <c r="F755" s="25" t="s">
        <v>9</v>
      </c>
      <c r="G755" s="84" t="s">
        <v>10</v>
      </c>
      <c r="H755" s="50"/>
      <c r="I755" s="44" t="s">
        <v>21</v>
      </c>
      <c r="J755" s="15"/>
      <c r="K755" s="119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5"/>
    </row>
    <row r="756" ht="15.75" customHeight="1">
      <c r="A756" s="19"/>
      <c r="B756" s="125" t="s">
        <v>361</v>
      </c>
      <c r="C756" s="52"/>
      <c r="D756" s="188">
        <f>9.5*1.93</f>
        <v>18.335</v>
      </c>
      <c r="E756" s="71"/>
      <c r="F756" s="52"/>
      <c r="G756" s="75"/>
      <c r="H756" s="189"/>
      <c r="I756" s="190">
        <f t="shared" ref="I756:I757" si="55">D756</f>
        <v>18.335</v>
      </c>
      <c r="J756" s="15"/>
      <c r="K756" s="119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5"/>
    </row>
    <row r="757" ht="15.75" customHeight="1">
      <c r="A757" s="19"/>
      <c r="B757" s="125" t="s">
        <v>362</v>
      </c>
      <c r="C757" s="33"/>
      <c r="D757" s="33">
        <f>12.3*1.93</f>
        <v>23.739</v>
      </c>
      <c r="E757" s="33"/>
      <c r="F757" s="33"/>
      <c r="G757" s="155"/>
      <c r="H757" s="183"/>
      <c r="I757" s="185">
        <f t="shared" si="55"/>
        <v>23.739</v>
      </c>
      <c r="J757" s="15"/>
      <c r="K757" s="119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5"/>
    </row>
    <row r="758" ht="15.75" customHeight="1">
      <c r="A758" s="19"/>
      <c r="B758" s="38" t="s">
        <v>93</v>
      </c>
      <c r="C758" s="39"/>
      <c r="D758" s="39"/>
      <c r="E758" s="39"/>
      <c r="F758" s="39"/>
      <c r="G758" s="39"/>
      <c r="H758" s="40"/>
      <c r="I758" s="41">
        <f>SUM(I756:I757)</f>
        <v>42.074</v>
      </c>
      <c r="J758" s="4"/>
      <c r="K758" s="119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5"/>
    </row>
    <row r="759" ht="15.75" customHeight="1">
      <c r="A759" s="19"/>
      <c r="B759" s="184"/>
      <c r="C759" s="15"/>
      <c r="D759" s="15"/>
      <c r="E759" s="15"/>
      <c r="F759" s="15"/>
      <c r="G759" s="16"/>
      <c r="H759" s="15"/>
      <c r="I759" s="15"/>
      <c r="J759" s="4"/>
      <c r="K759" s="119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5"/>
    </row>
    <row r="760" ht="15.75" customHeight="1">
      <c r="A760" s="58" t="s">
        <v>363</v>
      </c>
      <c r="B760" s="21" t="s">
        <v>364</v>
      </c>
      <c r="C760" s="66"/>
      <c r="D760" s="15"/>
      <c r="E760" s="66"/>
      <c r="F760" s="66"/>
      <c r="G760" s="165"/>
      <c r="H760" s="66"/>
      <c r="I760" s="15"/>
      <c r="J760" s="4"/>
      <c r="K760" s="4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5"/>
    </row>
    <row r="761" ht="15.75" customHeight="1">
      <c r="A761" s="12"/>
      <c r="B761" s="67"/>
      <c r="C761" s="66"/>
      <c r="D761" s="15"/>
      <c r="E761" s="66"/>
      <c r="F761" s="66"/>
      <c r="G761" s="165"/>
      <c r="H761" s="66"/>
      <c r="I761" s="66"/>
      <c r="J761" s="4"/>
      <c r="K761" s="4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5"/>
    </row>
    <row r="762" ht="15.75" customHeight="1">
      <c r="A762" s="19"/>
      <c r="B762" s="24" t="s">
        <v>6</v>
      </c>
      <c r="C762" s="25" t="s">
        <v>7</v>
      </c>
      <c r="D762" s="181" t="s">
        <v>274</v>
      </c>
      <c r="E762" s="43" t="s">
        <v>8</v>
      </c>
      <c r="F762" s="25" t="s">
        <v>9</v>
      </c>
      <c r="G762" s="84" t="s">
        <v>10</v>
      </c>
      <c r="H762" s="50"/>
      <c r="I762" s="44" t="s">
        <v>21</v>
      </c>
      <c r="J762" s="15"/>
      <c r="K762" s="119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5"/>
    </row>
    <row r="763" ht="15.75" customHeight="1">
      <c r="A763" s="19"/>
      <c r="B763" s="125" t="s">
        <v>332</v>
      </c>
      <c r="C763" s="33"/>
      <c r="D763" s="33"/>
      <c r="E763" s="33"/>
      <c r="F763" s="33"/>
      <c r="G763" s="155"/>
      <c r="H763" s="183"/>
      <c r="I763" s="185">
        <v>152.6</v>
      </c>
      <c r="J763" s="15"/>
      <c r="K763" s="119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5"/>
    </row>
    <row r="764" ht="15.75" customHeight="1">
      <c r="A764" s="19"/>
      <c r="B764" s="38" t="s">
        <v>93</v>
      </c>
      <c r="C764" s="39"/>
      <c r="D764" s="39"/>
      <c r="E764" s="39"/>
      <c r="F764" s="39"/>
      <c r="G764" s="39"/>
      <c r="H764" s="40"/>
      <c r="I764" s="41">
        <f>SUM(I763)</f>
        <v>152.6</v>
      </c>
      <c r="J764" s="4"/>
      <c r="K764" s="119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5"/>
    </row>
    <row r="765" ht="15.75" customHeight="1">
      <c r="A765" s="19"/>
      <c r="B765" s="184"/>
      <c r="C765" s="15"/>
      <c r="D765" s="15"/>
      <c r="E765" s="15"/>
      <c r="F765" s="15"/>
      <c r="G765" s="16"/>
      <c r="H765" s="15"/>
      <c r="I765" s="15"/>
      <c r="J765" s="4"/>
      <c r="K765" s="4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5"/>
    </row>
    <row r="766" ht="15.75" customHeight="1">
      <c r="A766" s="58" t="s">
        <v>365</v>
      </c>
      <c r="B766" s="21" t="s">
        <v>366</v>
      </c>
      <c r="C766" s="66"/>
      <c r="D766" s="15"/>
      <c r="E766" s="66"/>
      <c r="F766" s="66"/>
      <c r="G766" s="165"/>
      <c r="H766" s="66"/>
      <c r="I766" s="15"/>
      <c r="J766" s="4"/>
      <c r="K766" s="4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5"/>
    </row>
    <row r="767" ht="15.75" customHeight="1">
      <c r="A767" s="12"/>
      <c r="B767" s="67"/>
      <c r="C767" s="66"/>
      <c r="D767" s="15"/>
      <c r="E767" s="66"/>
      <c r="F767" s="66"/>
      <c r="G767" s="165"/>
      <c r="H767" s="66"/>
      <c r="I767" s="66"/>
      <c r="J767" s="4"/>
      <c r="K767" s="4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5"/>
    </row>
    <row r="768" ht="15.75" customHeight="1">
      <c r="A768" s="19"/>
      <c r="B768" s="24" t="s">
        <v>6</v>
      </c>
      <c r="C768" s="25" t="s">
        <v>7</v>
      </c>
      <c r="D768" s="181" t="s">
        <v>274</v>
      </c>
      <c r="E768" s="43" t="s">
        <v>8</v>
      </c>
      <c r="F768" s="25" t="s">
        <v>9</v>
      </c>
      <c r="G768" s="84" t="s">
        <v>10</v>
      </c>
      <c r="H768" s="50"/>
      <c r="I768" s="191" t="s">
        <v>367</v>
      </c>
      <c r="J768" s="15"/>
      <c r="K768" s="119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5"/>
    </row>
    <row r="769" ht="15.75" customHeight="1">
      <c r="A769" s="19"/>
      <c r="B769" s="125" t="s">
        <v>368</v>
      </c>
      <c r="C769" s="33"/>
      <c r="D769" s="33"/>
      <c r="E769" s="33">
        <f>9.5+1.63+1.63</f>
        <v>12.76</v>
      </c>
      <c r="F769" s="33"/>
      <c r="G769" s="155"/>
      <c r="H769" s="183"/>
      <c r="I769" s="161">
        <f t="shared" ref="I769:I770" si="56">E769</f>
        <v>12.76</v>
      </c>
      <c r="J769" s="15"/>
      <c r="K769" s="119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5"/>
    </row>
    <row r="770" ht="15.75" customHeight="1">
      <c r="A770" s="19"/>
      <c r="B770" s="125" t="s">
        <v>362</v>
      </c>
      <c r="C770" s="33"/>
      <c r="D770" s="33"/>
      <c r="E770" s="33">
        <f>12.03+1.63+1.63</f>
        <v>15.29</v>
      </c>
      <c r="F770" s="33"/>
      <c r="G770" s="155"/>
      <c r="H770" s="183"/>
      <c r="I770" s="161">
        <f t="shared" si="56"/>
        <v>15.29</v>
      </c>
      <c r="J770" s="15"/>
      <c r="K770" s="4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5"/>
    </row>
    <row r="771" ht="15.75" customHeight="1">
      <c r="A771" s="19"/>
      <c r="B771" s="82" t="s">
        <v>369</v>
      </c>
      <c r="C771" s="39"/>
      <c r="D771" s="39"/>
      <c r="E771" s="39"/>
      <c r="F771" s="39"/>
      <c r="G771" s="39"/>
      <c r="H771" s="40"/>
      <c r="I771" s="41">
        <f>SUM(I769:I770)</f>
        <v>28.05</v>
      </c>
      <c r="J771" s="4"/>
      <c r="K771" s="119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5"/>
    </row>
    <row r="772" ht="15.75" customHeight="1">
      <c r="A772" s="19"/>
      <c r="B772" s="184"/>
      <c r="C772" s="15"/>
      <c r="D772" s="15"/>
      <c r="E772" s="15"/>
      <c r="F772" s="15"/>
      <c r="G772" s="16"/>
      <c r="H772" s="15"/>
      <c r="I772" s="15"/>
      <c r="J772" s="4"/>
      <c r="K772" s="4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5"/>
    </row>
    <row r="773" ht="15.75" customHeight="1">
      <c r="A773" s="58" t="s">
        <v>370</v>
      </c>
      <c r="B773" s="21" t="s">
        <v>371</v>
      </c>
      <c r="C773" s="66"/>
      <c r="D773" s="15"/>
      <c r="E773" s="66"/>
      <c r="F773" s="66"/>
      <c r="G773" s="165"/>
      <c r="H773" s="66"/>
      <c r="I773" s="15"/>
      <c r="J773" s="4"/>
      <c r="K773" s="4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5"/>
    </row>
    <row r="774" ht="15.75" customHeight="1">
      <c r="A774" s="12"/>
      <c r="B774" s="67"/>
      <c r="C774" s="66"/>
      <c r="D774" s="15"/>
      <c r="E774" s="66"/>
      <c r="F774" s="66"/>
      <c r="G774" s="165"/>
      <c r="H774" s="66"/>
      <c r="I774" s="66"/>
      <c r="J774" s="4"/>
      <c r="K774" s="4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5"/>
    </row>
    <row r="775" ht="15.75" customHeight="1">
      <c r="A775" s="19"/>
      <c r="B775" s="24" t="s">
        <v>6</v>
      </c>
      <c r="C775" s="25" t="s">
        <v>7</v>
      </c>
      <c r="D775" s="181" t="s">
        <v>274</v>
      </c>
      <c r="E775" s="43" t="s">
        <v>8</v>
      </c>
      <c r="F775" s="25" t="s">
        <v>9</v>
      </c>
      <c r="G775" s="84" t="s">
        <v>10</v>
      </c>
      <c r="H775" s="50"/>
      <c r="I775" s="191" t="s">
        <v>367</v>
      </c>
      <c r="J775" s="15"/>
      <c r="K775" s="119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5"/>
    </row>
    <row r="776" ht="15.75" customHeight="1">
      <c r="A776" s="19"/>
      <c r="B776" s="125" t="s">
        <v>372</v>
      </c>
      <c r="C776" s="33">
        <f>3</f>
        <v>3</v>
      </c>
      <c r="D776" s="33"/>
      <c r="E776" s="144">
        <v>68.0</v>
      </c>
      <c r="F776" s="33"/>
      <c r="G776" s="155"/>
      <c r="H776" s="183"/>
      <c r="I776" s="161">
        <f>C776*E776</f>
        <v>204</v>
      </c>
      <c r="J776" s="15"/>
      <c r="K776" s="119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5"/>
    </row>
    <row r="777" ht="15.75" customHeight="1">
      <c r="A777" s="19"/>
      <c r="B777" s="125"/>
      <c r="C777" s="33"/>
      <c r="D777" s="33"/>
      <c r="E777" s="33"/>
      <c r="F777" s="33"/>
      <c r="G777" s="155"/>
      <c r="H777" s="183"/>
      <c r="I777" s="161"/>
      <c r="J777" s="15"/>
      <c r="K777" s="4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5"/>
    </row>
    <row r="778" ht="15.75" customHeight="1">
      <c r="A778" s="19"/>
      <c r="B778" s="82" t="s">
        <v>369</v>
      </c>
      <c r="C778" s="39"/>
      <c r="D778" s="39"/>
      <c r="E778" s="39"/>
      <c r="F778" s="39"/>
      <c r="G778" s="39"/>
      <c r="H778" s="40"/>
      <c r="I778" s="41">
        <f>SUM(I776:I777)</f>
        <v>204</v>
      </c>
      <c r="J778" s="4"/>
      <c r="K778" s="119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5"/>
    </row>
    <row r="779" ht="15.75" customHeight="1">
      <c r="A779" s="19"/>
      <c r="B779" s="184"/>
      <c r="C779" s="15"/>
      <c r="D779" s="15"/>
      <c r="E779" s="15"/>
      <c r="F779" s="15"/>
      <c r="G779" s="16"/>
      <c r="H779" s="15"/>
      <c r="I779" s="15"/>
      <c r="J779" s="4"/>
      <c r="K779" s="4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5"/>
    </row>
    <row r="780" ht="15.75" customHeight="1">
      <c r="A780" s="58" t="s">
        <v>373</v>
      </c>
      <c r="B780" s="21" t="s">
        <v>374</v>
      </c>
      <c r="C780" s="66"/>
      <c r="D780" s="15"/>
      <c r="E780" s="66"/>
      <c r="F780" s="66"/>
      <c r="G780" s="165"/>
      <c r="H780" s="66"/>
      <c r="I780" s="15"/>
      <c r="J780" s="4"/>
      <c r="K780" s="4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5"/>
    </row>
    <row r="781" ht="15.75" customHeight="1">
      <c r="A781" s="12"/>
      <c r="B781" s="67"/>
      <c r="C781" s="66"/>
      <c r="D781" s="15"/>
      <c r="E781" s="66"/>
      <c r="F781" s="66"/>
      <c r="G781" s="165"/>
      <c r="H781" s="66"/>
      <c r="I781" s="66"/>
      <c r="J781" s="4"/>
      <c r="K781" s="4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5"/>
    </row>
    <row r="782" ht="15.75" customHeight="1">
      <c r="A782" s="19"/>
      <c r="B782" s="24" t="s">
        <v>6</v>
      </c>
      <c r="C782" s="25" t="s">
        <v>7</v>
      </c>
      <c r="D782" s="181" t="s">
        <v>274</v>
      </c>
      <c r="E782" s="43" t="s">
        <v>8</v>
      </c>
      <c r="F782" s="25" t="s">
        <v>9</v>
      </c>
      <c r="G782" s="84" t="s">
        <v>10</v>
      </c>
      <c r="H782" s="50"/>
      <c r="I782" s="191" t="s">
        <v>367</v>
      </c>
      <c r="J782" s="15"/>
      <c r="K782" s="119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5"/>
    </row>
    <row r="783" ht="15.75" customHeight="1">
      <c r="A783" s="19"/>
      <c r="B783" s="125" t="s">
        <v>372</v>
      </c>
      <c r="C783" s="144">
        <v>29.0</v>
      </c>
      <c r="D783" s="33"/>
      <c r="E783" s="144">
        <v>2.5</v>
      </c>
      <c r="F783" s="33"/>
      <c r="G783" s="155"/>
      <c r="H783" s="183"/>
      <c r="I783" s="161">
        <f>C783*E783</f>
        <v>72.5</v>
      </c>
      <c r="J783" s="15"/>
      <c r="K783" s="119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5"/>
    </row>
    <row r="784" ht="15.75" customHeight="1">
      <c r="A784" s="19"/>
      <c r="B784" s="125"/>
      <c r="C784" s="33"/>
      <c r="D784" s="33"/>
      <c r="E784" s="33"/>
      <c r="F784" s="33"/>
      <c r="G784" s="155"/>
      <c r="H784" s="183"/>
      <c r="I784" s="185">
        <v>136.0</v>
      </c>
      <c r="J784" s="15"/>
      <c r="K784" s="4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5"/>
    </row>
    <row r="785" ht="15.75" customHeight="1">
      <c r="A785" s="19"/>
      <c r="B785" s="82" t="s">
        <v>369</v>
      </c>
      <c r="C785" s="39"/>
      <c r="D785" s="39"/>
      <c r="E785" s="39"/>
      <c r="F785" s="39"/>
      <c r="G785" s="39"/>
      <c r="H785" s="40"/>
      <c r="I785" s="41">
        <f>SUM(I783:I784)</f>
        <v>208.5</v>
      </c>
      <c r="J785" s="4"/>
      <c r="K785" s="119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5"/>
    </row>
    <row r="786" ht="15.75" customHeight="1">
      <c r="A786" s="19"/>
      <c r="B786" s="184"/>
      <c r="C786" s="15"/>
      <c r="D786" s="15"/>
      <c r="E786" s="15"/>
      <c r="F786" s="15"/>
      <c r="G786" s="16"/>
      <c r="H786" s="15"/>
      <c r="I786" s="15"/>
      <c r="J786" s="4"/>
      <c r="K786" s="4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5"/>
    </row>
    <row r="787" ht="15.75" customHeight="1">
      <c r="A787" s="58" t="s">
        <v>375</v>
      </c>
      <c r="B787" s="21" t="s">
        <v>376</v>
      </c>
      <c r="C787" s="66"/>
      <c r="D787" s="15"/>
      <c r="E787" s="66"/>
      <c r="F787" s="66"/>
      <c r="G787" s="165"/>
      <c r="H787" s="66"/>
      <c r="I787" s="15"/>
      <c r="J787" s="4"/>
      <c r="K787" s="4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5"/>
    </row>
    <row r="788" ht="15.75" customHeight="1">
      <c r="A788" s="12"/>
      <c r="B788" s="67"/>
      <c r="C788" s="66"/>
      <c r="D788" s="15"/>
      <c r="E788" s="66"/>
      <c r="F788" s="66"/>
      <c r="G788" s="165"/>
      <c r="H788" s="66"/>
      <c r="I788" s="66"/>
      <c r="J788" s="4"/>
      <c r="K788" s="4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5"/>
    </row>
    <row r="789" ht="15.75" customHeight="1">
      <c r="A789" s="19"/>
      <c r="B789" s="24" t="s">
        <v>6</v>
      </c>
      <c r="C789" s="25" t="s">
        <v>7</v>
      </c>
      <c r="D789" s="181" t="s">
        <v>274</v>
      </c>
      <c r="E789" s="43" t="s">
        <v>8</v>
      </c>
      <c r="F789" s="25" t="s">
        <v>9</v>
      </c>
      <c r="G789" s="84" t="s">
        <v>10</v>
      </c>
      <c r="H789" s="50"/>
      <c r="I789" s="191" t="s">
        <v>367</v>
      </c>
      <c r="J789" s="15"/>
      <c r="K789" s="119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5"/>
    </row>
    <row r="790" ht="15.75" customHeight="1">
      <c r="A790" s="19"/>
      <c r="B790" s="125" t="s">
        <v>372</v>
      </c>
      <c r="C790" s="144">
        <v>58.0</v>
      </c>
      <c r="D790" s="33"/>
      <c r="E790" s="144">
        <v>2.25</v>
      </c>
      <c r="F790" s="33"/>
      <c r="G790" s="155"/>
      <c r="H790" s="183"/>
      <c r="I790" s="161">
        <f>C790*E790</f>
        <v>130.5</v>
      </c>
      <c r="J790" s="15"/>
      <c r="K790" s="4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5"/>
    </row>
    <row r="791" ht="15.75" customHeight="1">
      <c r="A791" s="19"/>
      <c r="B791" s="82" t="s">
        <v>369</v>
      </c>
      <c r="C791" s="39"/>
      <c r="D791" s="39"/>
      <c r="E791" s="39"/>
      <c r="F791" s="39"/>
      <c r="G791" s="39"/>
      <c r="H791" s="40"/>
      <c r="I791" s="41">
        <f>SUM(I790)</f>
        <v>130.5</v>
      </c>
      <c r="J791" s="4"/>
      <c r="K791" s="119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5"/>
    </row>
    <row r="792" ht="15.75" customHeight="1">
      <c r="A792" s="19"/>
      <c r="B792" s="184"/>
      <c r="C792" s="15"/>
      <c r="D792" s="15"/>
      <c r="E792" s="15"/>
      <c r="F792" s="15"/>
      <c r="G792" s="16"/>
      <c r="H792" s="15"/>
      <c r="I792" s="15"/>
      <c r="J792" s="4"/>
      <c r="K792" s="4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5"/>
    </row>
    <row r="793" ht="15.75" customHeight="1">
      <c r="A793" s="186" t="s">
        <v>377</v>
      </c>
      <c r="B793" s="187" t="s">
        <v>378</v>
      </c>
      <c r="C793" s="89"/>
      <c r="D793" s="89"/>
      <c r="E793" s="89"/>
      <c r="F793" s="89"/>
      <c r="G793" s="16"/>
      <c r="H793" s="15"/>
      <c r="I793" s="15"/>
      <c r="K793" s="4"/>
      <c r="L793" s="78"/>
      <c r="M793" s="177"/>
      <c r="N793" s="78"/>
      <c r="O793" s="78"/>
      <c r="P793" s="78"/>
      <c r="Q793" s="78"/>
      <c r="R793" s="78"/>
      <c r="S793" s="78"/>
      <c r="T793" s="5"/>
      <c r="U793" s="5"/>
      <c r="V793" s="5"/>
      <c r="W793" s="5"/>
      <c r="X793" s="5"/>
      <c r="Y793" s="5"/>
      <c r="Z793" s="5"/>
    </row>
    <row r="794" ht="15.75" customHeight="1">
      <c r="A794" s="19"/>
      <c r="B794" s="184"/>
      <c r="C794" s="15"/>
      <c r="D794" s="15"/>
      <c r="E794" s="15"/>
      <c r="F794" s="15"/>
      <c r="G794" s="16"/>
      <c r="H794" s="15"/>
      <c r="I794" s="15"/>
      <c r="J794" s="4"/>
      <c r="K794" s="4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5"/>
    </row>
    <row r="795" ht="15.75" customHeight="1">
      <c r="A795" s="58" t="s">
        <v>379</v>
      </c>
      <c r="B795" s="21" t="s">
        <v>380</v>
      </c>
      <c r="C795" s="66"/>
      <c r="D795" s="15"/>
      <c r="E795" s="66"/>
      <c r="F795" s="66"/>
      <c r="G795" s="165"/>
      <c r="H795" s="66"/>
      <c r="I795" s="15"/>
      <c r="J795" s="4"/>
      <c r="K795" s="4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5"/>
    </row>
    <row r="796" ht="15.75" customHeight="1">
      <c r="A796" s="12"/>
      <c r="B796" s="67"/>
      <c r="C796" s="66"/>
      <c r="D796" s="15"/>
      <c r="E796" s="66"/>
      <c r="F796" s="66"/>
      <c r="G796" s="165"/>
      <c r="H796" s="66"/>
      <c r="I796" s="66"/>
      <c r="J796" s="4"/>
      <c r="K796" s="4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5"/>
    </row>
    <row r="797" ht="15.75" customHeight="1">
      <c r="A797" s="19"/>
      <c r="B797" s="24" t="s">
        <v>6</v>
      </c>
      <c r="C797" s="25" t="s">
        <v>7</v>
      </c>
      <c r="D797" s="181" t="s">
        <v>274</v>
      </c>
      <c r="E797" s="43" t="s">
        <v>8</v>
      </c>
      <c r="F797" s="25" t="s">
        <v>9</v>
      </c>
      <c r="G797" s="84" t="s">
        <v>10</v>
      </c>
      <c r="H797" s="50"/>
      <c r="I797" s="44" t="s">
        <v>21</v>
      </c>
      <c r="J797" s="15"/>
      <c r="K797" s="119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5"/>
    </row>
    <row r="798" ht="15.75" customHeight="1">
      <c r="A798" s="19"/>
      <c r="B798" s="86" t="s">
        <v>381</v>
      </c>
      <c r="C798" s="158"/>
      <c r="D798" s="158"/>
      <c r="E798" s="167"/>
      <c r="F798" s="168"/>
      <c r="G798" s="169"/>
      <c r="H798" s="167"/>
      <c r="I798" s="161">
        <v>45.11</v>
      </c>
      <c r="J798" s="15"/>
      <c r="K798" s="119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5"/>
    </row>
    <row r="799" ht="15.75" customHeight="1">
      <c r="A799" s="19"/>
      <c r="B799" s="86" t="s">
        <v>382</v>
      </c>
      <c r="C799" s="158"/>
      <c r="D799" s="158"/>
      <c r="E799" s="167"/>
      <c r="F799" s="168"/>
      <c r="G799" s="169"/>
      <c r="H799" s="167"/>
      <c r="I799" s="161">
        <v>45.11</v>
      </c>
      <c r="J799" s="15"/>
      <c r="K799" s="4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5"/>
    </row>
    <row r="800" ht="15.75" customHeight="1">
      <c r="A800" s="19"/>
      <c r="B800" s="38" t="s">
        <v>93</v>
      </c>
      <c r="C800" s="39"/>
      <c r="D800" s="39"/>
      <c r="E800" s="39"/>
      <c r="F800" s="39"/>
      <c r="G800" s="39"/>
      <c r="H800" s="40"/>
      <c r="I800" s="41">
        <f>SUM(I798:I799)</f>
        <v>90.22</v>
      </c>
      <c r="J800" s="4"/>
      <c r="K800" s="119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5"/>
    </row>
    <row r="801" ht="15.75" customHeight="1">
      <c r="A801" s="19"/>
      <c r="B801" s="184"/>
      <c r="C801" s="15"/>
      <c r="D801" s="15"/>
      <c r="E801" s="15"/>
      <c r="F801" s="15"/>
      <c r="G801" s="16"/>
      <c r="H801" s="15"/>
      <c r="I801" s="15"/>
      <c r="J801" s="4"/>
      <c r="K801" s="119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5"/>
    </row>
    <row r="802" ht="15.75" customHeight="1">
      <c r="A802" s="186" t="s">
        <v>383</v>
      </c>
      <c r="B802" s="187" t="s">
        <v>384</v>
      </c>
      <c r="C802" s="89"/>
      <c r="D802" s="89"/>
      <c r="E802" s="89"/>
      <c r="F802" s="89"/>
      <c r="G802" s="16"/>
      <c r="H802" s="15"/>
      <c r="I802" s="15"/>
      <c r="K802" s="4"/>
      <c r="L802" s="78"/>
      <c r="M802" s="177"/>
      <c r="N802" s="78"/>
      <c r="O802" s="78"/>
      <c r="P802" s="78"/>
      <c r="Q802" s="78"/>
      <c r="R802" s="78"/>
      <c r="S802" s="78"/>
      <c r="T802" s="5"/>
      <c r="U802" s="5"/>
      <c r="V802" s="5"/>
      <c r="W802" s="5"/>
      <c r="X802" s="5"/>
      <c r="Y802" s="5"/>
      <c r="Z802" s="5"/>
    </row>
    <row r="803" ht="15.75" customHeight="1">
      <c r="A803" s="19"/>
      <c r="B803" s="184"/>
      <c r="C803" s="15"/>
      <c r="D803" s="15"/>
      <c r="E803" s="15"/>
      <c r="F803" s="15"/>
      <c r="G803" s="16"/>
      <c r="H803" s="15"/>
      <c r="I803" s="15"/>
      <c r="J803" s="4"/>
      <c r="K803" s="4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5"/>
    </row>
    <row r="804" ht="15.75" customHeight="1">
      <c r="A804" s="58" t="s">
        <v>385</v>
      </c>
      <c r="B804" s="21" t="s">
        <v>386</v>
      </c>
      <c r="C804" s="66"/>
      <c r="D804" s="15"/>
      <c r="E804" s="66"/>
      <c r="F804" s="66"/>
      <c r="G804" s="165"/>
      <c r="H804" s="66"/>
      <c r="I804" s="15"/>
      <c r="J804" s="4"/>
      <c r="K804" s="4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5"/>
    </row>
    <row r="805" ht="15.75" customHeight="1">
      <c r="A805" s="12"/>
      <c r="B805" s="67"/>
      <c r="C805" s="66"/>
      <c r="D805" s="15"/>
      <c r="E805" s="66"/>
      <c r="F805" s="66"/>
      <c r="G805" s="165"/>
      <c r="H805" s="66"/>
      <c r="I805" s="66"/>
      <c r="J805" s="4"/>
      <c r="K805" s="4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5"/>
    </row>
    <row r="806" ht="15.75" customHeight="1">
      <c r="A806" s="19"/>
      <c r="B806" s="24" t="s">
        <v>6</v>
      </c>
      <c r="C806" s="25" t="s">
        <v>7</v>
      </c>
      <c r="D806" s="192" t="s">
        <v>387</v>
      </c>
      <c r="E806" s="43" t="s">
        <v>8</v>
      </c>
      <c r="F806" s="25" t="s">
        <v>9</v>
      </c>
      <c r="G806" s="94" t="s">
        <v>388</v>
      </c>
      <c r="H806" s="59" t="s">
        <v>389</v>
      </c>
      <c r="I806" s="59" t="s">
        <v>390</v>
      </c>
      <c r="J806" s="15"/>
      <c r="K806" s="119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5"/>
    </row>
    <row r="807" ht="15.75" customHeight="1">
      <c r="A807" s="19"/>
      <c r="B807" s="86" t="s">
        <v>391</v>
      </c>
      <c r="C807" s="158"/>
      <c r="D807" s="193">
        <v>6.53</v>
      </c>
      <c r="E807" s="167"/>
      <c r="F807" s="168"/>
      <c r="G807" s="173">
        <v>2.0</v>
      </c>
      <c r="H807" s="194">
        <v>0.1</v>
      </c>
      <c r="I807" s="161">
        <f t="shared" ref="I807:I809" si="57">D807*G807*H807</f>
        <v>1.306</v>
      </c>
      <c r="J807" s="15"/>
      <c r="K807" s="119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5"/>
    </row>
    <row r="808" ht="15.75" customHeight="1">
      <c r="A808" s="19"/>
      <c r="B808" s="86" t="s">
        <v>392</v>
      </c>
      <c r="C808" s="158"/>
      <c r="D808" s="193">
        <v>1.94</v>
      </c>
      <c r="E808" s="167"/>
      <c r="F808" s="168"/>
      <c r="G808" s="173">
        <v>2.0</v>
      </c>
      <c r="H808" s="194">
        <v>0.1</v>
      </c>
      <c r="I808" s="161">
        <f t="shared" si="57"/>
        <v>0.388</v>
      </c>
      <c r="J808" s="15"/>
      <c r="K808" s="4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5"/>
    </row>
    <row r="809" ht="15.75" customHeight="1">
      <c r="A809" s="19"/>
      <c r="B809" s="86" t="s">
        <v>393</v>
      </c>
      <c r="C809" s="158"/>
      <c r="D809" s="158">
        <f>521.4*0.12</f>
        <v>62.568</v>
      </c>
      <c r="E809" s="167"/>
      <c r="F809" s="168"/>
      <c r="G809" s="173">
        <v>2.0</v>
      </c>
      <c r="H809" s="194">
        <v>0.1</v>
      </c>
      <c r="I809" s="161">
        <f t="shared" si="57"/>
        <v>12.5136</v>
      </c>
      <c r="J809" s="15"/>
      <c r="K809" s="4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5"/>
    </row>
    <row r="810" ht="15.75" customHeight="1">
      <c r="A810" s="19"/>
      <c r="B810" s="82" t="s">
        <v>394</v>
      </c>
      <c r="C810" s="39"/>
      <c r="D810" s="39"/>
      <c r="E810" s="39"/>
      <c r="F810" s="39"/>
      <c r="G810" s="39"/>
      <c r="H810" s="40"/>
      <c r="I810" s="41">
        <f>SUM(I807:I809)</f>
        <v>14.2076</v>
      </c>
      <c r="J810" s="4"/>
      <c r="K810" s="119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5"/>
    </row>
    <row r="811" ht="15.75" customHeight="1">
      <c r="A811" s="19"/>
      <c r="B811" s="184"/>
      <c r="C811" s="15"/>
      <c r="D811" s="15"/>
      <c r="E811" s="15"/>
      <c r="F811" s="15"/>
      <c r="G811" s="16"/>
      <c r="H811" s="15"/>
      <c r="I811" s="15"/>
      <c r="J811" s="4"/>
      <c r="K811" s="119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5"/>
    </row>
    <row r="812" ht="15.75" customHeight="1">
      <c r="A812" s="58" t="s">
        <v>395</v>
      </c>
      <c r="B812" s="21" t="s">
        <v>396</v>
      </c>
      <c r="C812" s="66"/>
      <c r="D812" s="15"/>
      <c r="E812" s="66"/>
      <c r="F812" s="66"/>
      <c r="G812" s="165"/>
      <c r="H812" s="66"/>
      <c r="I812" s="15"/>
      <c r="J812" s="4"/>
      <c r="K812" s="4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5"/>
    </row>
    <row r="813" ht="15.75" customHeight="1">
      <c r="A813" s="12"/>
      <c r="B813" s="67"/>
      <c r="C813" s="66"/>
      <c r="D813" s="15"/>
      <c r="E813" s="66"/>
      <c r="F813" s="66"/>
      <c r="G813" s="165"/>
      <c r="H813" s="66"/>
      <c r="I813" s="66"/>
      <c r="J813" s="4"/>
      <c r="K813" s="4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5"/>
    </row>
    <row r="814" ht="15.75" customHeight="1">
      <c r="A814" s="19"/>
      <c r="B814" s="24" t="s">
        <v>6</v>
      </c>
      <c r="C814" s="25" t="s">
        <v>7</v>
      </c>
      <c r="D814" s="192" t="s">
        <v>387</v>
      </c>
      <c r="E814" s="43" t="s">
        <v>8</v>
      </c>
      <c r="F814" s="25" t="s">
        <v>9</v>
      </c>
      <c r="G814" s="84" t="s">
        <v>10</v>
      </c>
      <c r="H814" s="59" t="s">
        <v>388</v>
      </c>
      <c r="I814" s="191" t="s">
        <v>18</v>
      </c>
      <c r="J814" s="15"/>
      <c r="K814" s="119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5"/>
    </row>
    <row r="815" ht="15.75" customHeight="1">
      <c r="A815" s="19"/>
      <c r="B815" s="86" t="s">
        <v>391</v>
      </c>
      <c r="C815" s="158"/>
      <c r="D815" s="193">
        <v>6.53</v>
      </c>
      <c r="E815" s="167"/>
      <c r="F815" s="168"/>
      <c r="G815" s="194"/>
      <c r="H815" s="195">
        <v>2.0</v>
      </c>
      <c r="I815" s="161">
        <f t="shared" ref="I815:I817" si="58">D815*H815</f>
        <v>13.06</v>
      </c>
      <c r="J815" s="15"/>
      <c r="K815" s="119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5"/>
    </row>
    <row r="816" ht="15.75" customHeight="1">
      <c r="A816" s="19"/>
      <c r="B816" s="86" t="s">
        <v>392</v>
      </c>
      <c r="C816" s="158"/>
      <c r="D816" s="193">
        <v>1.94</v>
      </c>
      <c r="E816" s="167"/>
      <c r="F816" s="168"/>
      <c r="G816" s="173"/>
      <c r="H816" s="195">
        <v>2.0</v>
      </c>
      <c r="I816" s="161">
        <f t="shared" si="58"/>
        <v>3.88</v>
      </c>
      <c r="J816" s="15"/>
      <c r="K816" s="4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5"/>
    </row>
    <row r="817" ht="15.75" customHeight="1">
      <c r="A817" s="19"/>
      <c r="B817" s="86" t="s">
        <v>393</v>
      </c>
      <c r="C817" s="158"/>
      <c r="D817" s="158">
        <f>521.4*0.12</f>
        <v>62.568</v>
      </c>
      <c r="E817" s="167"/>
      <c r="F817" s="168"/>
      <c r="G817" s="194"/>
      <c r="H817" s="195">
        <v>2.0</v>
      </c>
      <c r="I817" s="161">
        <f t="shared" si="58"/>
        <v>125.136</v>
      </c>
      <c r="J817" s="15"/>
      <c r="K817" s="4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5"/>
    </row>
    <row r="818" ht="15.75" customHeight="1">
      <c r="A818" s="19"/>
      <c r="B818" s="82" t="s">
        <v>397</v>
      </c>
      <c r="C818" s="39"/>
      <c r="D818" s="39"/>
      <c r="E818" s="39"/>
      <c r="F818" s="39"/>
      <c r="G818" s="39"/>
      <c r="H818" s="40"/>
      <c r="I818" s="41">
        <f>SUM(I815:I817)</f>
        <v>142.076</v>
      </c>
      <c r="J818" s="4"/>
      <c r="K818" s="119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5"/>
    </row>
    <row r="819" ht="15.75" customHeight="1">
      <c r="A819" s="19"/>
      <c r="B819" s="184"/>
      <c r="C819" s="15"/>
      <c r="D819" s="15"/>
      <c r="E819" s="15"/>
      <c r="F819" s="15"/>
      <c r="G819" s="16"/>
      <c r="H819" s="15"/>
      <c r="I819" s="15"/>
      <c r="J819" s="4"/>
      <c r="K819" s="4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5"/>
    </row>
    <row r="820" ht="15.0" customHeight="1">
      <c r="A820" s="58" t="s">
        <v>398</v>
      </c>
      <c r="B820" s="21" t="s">
        <v>399</v>
      </c>
      <c r="C820" s="66"/>
      <c r="D820" s="15"/>
      <c r="E820" s="66"/>
      <c r="F820" s="66"/>
      <c r="G820" s="165"/>
      <c r="H820" s="66"/>
      <c r="I820" s="15"/>
      <c r="J820" s="4"/>
      <c r="K820" s="4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5"/>
    </row>
    <row r="821" ht="15.0" customHeight="1">
      <c r="A821" s="12"/>
      <c r="B821" s="67"/>
      <c r="C821" s="66"/>
      <c r="D821" s="15"/>
      <c r="E821" s="66"/>
      <c r="F821" s="66"/>
      <c r="G821" s="165"/>
      <c r="H821" s="66"/>
      <c r="I821" s="66"/>
      <c r="J821" s="4"/>
      <c r="K821" s="4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5"/>
    </row>
    <row r="822" ht="15.0" customHeight="1">
      <c r="A822" s="19"/>
      <c r="B822" s="24" t="s">
        <v>6</v>
      </c>
      <c r="C822" s="25" t="s">
        <v>7</v>
      </c>
      <c r="D822" s="192" t="s">
        <v>387</v>
      </c>
      <c r="E822" s="43" t="s">
        <v>8</v>
      </c>
      <c r="F822" s="25" t="s">
        <v>9</v>
      </c>
      <c r="G822" s="59" t="s">
        <v>388</v>
      </c>
      <c r="H822" s="59" t="s">
        <v>389</v>
      </c>
      <c r="I822" s="59" t="s">
        <v>390</v>
      </c>
      <c r="J822" s="15"/>
      <c r="K822" s="119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5"/>
    </row>
    <row r="823" ht="15.0" customHeight="1">
      <c r="A823" s="19"/>
      <c r="B823" s="86" t="s">
        <v>391</v>
      </c>
      <c r="C823" s="158"/>
      <c r="D823" s="193">
        <v>6.53</v>
      </c>
      <c r="E823" s="167"/>
      <c r="F823" s="168"/>
      <c r="G823" s="194">
        <v>2.0</v>
      </c>
      <c r="H823" s="194">
        <v>9.8</v>
      </c>
      <c r="I823" s="161">
        <f>D823*G823*H823</f>
        <v>127.988</v>
      </c>
      <c r="J823" s="15"/>
      <c r="K823" s="119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5"/>
    </row>
    <row r="824" ht="15.0" customHeight="1">
      <c r="A824" s="19"/>
      <c r="B824" s="86" t="s">
        <v>392</v>
      </c>
      <c r="C824" s="158"/>
      <c r="D824" s="193">
        <v>1.94</v>
      </c>
      <c r="E824" s="167"/>
      <c r="F824" s="168"/>
      <c r="G824" s="173">
        <v>2.0</v>
      </c>
      <c r="H824" s="195">
        <v>9.8</v>
      </c>
      <c r="I824" s="161">
        <f>D824*H824</f>
        <v>19.012</v>
      </c>
      <c r="J824" s="15"/>
      <c r="K824" s="119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5"/>
    </row>
    <row r="825" ht="15.0" customHeight="1">
      <c r="A825" s="19"/>
      <c r="B825" s="86" t="s">
        <v>393</v>
      </c>
      <c r="C825" s="158"/>
      <c r="D825" s="158">
        <f>521.4*0.12</f>
        <v>62.568</v>
      </c>
      <c r="E825" s="167"/>
      <c r="F825" s="168"/>
      <c r="G825" s="194">
        <v>2.0</v>
      </c>
      <c r="H825" s="194">
        <v>9.8</v>
      </c>
      <c r="I825" s="161">
        <f>D825*G825*H825</f>
        <v>1226.3328</v>
      </c>
      <c r="J825" s="15"/>
      <c r="K825" s="119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5"/>
    </row>
    <row r="826" ht="15.0" customHeight="1">
      <c r="A826" s="19"/>
      <c r="B826" s="82" t="s">
        <v>394</v>
      </c>
      <c r="C826" s="39"/>
      <c r="D826" s="39"/>
      <c r="E826" s="39"/>
      <c r="F826" s="39"/>
      <c r="G826" s="39"/>
      <c r="H826" s="40"/>
      <c r="I826" s="41">
        <f>SUM(I823:I825)</f>
        <v>1373.3328</v>
      </c>
      <c r="J826" s="4"/>
      <c r="K826" s="119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5"/>
    </row>
    <row r="827" ht="15.0" customHeight="1">
      <c r="A827" s="19"/>
      <c r="B827" s="184"/>
      <c r="C827" s="15"/>
      <c r="D827" s="15"/>
      <c r="E827" s="15"/>
      <c r="F827" s="15"/>
      <c r="G827" s="16"/>
      <c r="H827" s="15"/>
      <c r="I827" s="15"/>
      <c r="J827" s="4"/>
      <c r="K827" s="4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5"/>
    </row>
    <row r="828" ht="15.0" customHeight="1">
      <c r="A828" s="58" t="s">
        <v>400</v>
      </c>
      <c r="B828" s="21" t="s">
        <v>401</v>
      </c>
      <c r="C828" s="66"/>
      <c r="D828" s="15"/>
      <c r="E828" s="66"/>
      <c r="F828" s="66"/>
      <c r="G828" s="165"/>
      <c r="H828" s="66"/>
      <c r="I828" s="15"/>
      <c r="J828" s="4"/>
      <c r="K828" s="4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5"/>
    </row>
    <row r="829" ht="15.0" customHeight="1">
      <c r="A829" s="12"/>
      <c r="B829" s="67"/>
      <c r="C829" s="66"/>
      <c r="D829" s="15"/>
      <c r="E829" s="66"/>
      <c r="F829" s="66"/>
      <c r="G829" s="165"/>
      <c r="H829" s="66"/>
      <c r="I829" s="66"/>
      <c r="J829" s="4"/>
      <c r="K829" s="4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5"/>
    </row>
    <row r="830" ht="15.0" customHeight="1">
      <c r="A830" s="19"/>
      <c r="B830" s="24" t="s">
        <v>6</v>
      </c>
      <c r="C830" s="25" t="s">
        <v>7</v>
      </c>
      <c r="D830" s="192" t="s">
        <v>387</v>
      </c>
      <c r="E830" s="43" t="s">
        <v>8</v>
      </c>
      <c r="F830" s="25" t="s">
        <v>9</v>
      </c>
      <c r="G830" s="84" t="s">
        <v>10</v>
      </c>
      <c r="H830" s="59" t="s">
        <v>388</v>
      </c>
      <c r="I830" s="191" t="s">
        <v>18</v>
      </c>
      <c r="J830" s="15"/>
      <c r="K830" s="119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5"/>
    </row>
    <row r="831" ht="15.0" customHeight="1">
      <c r="A831" s="19"/>
      <c r="B831" s="86" t="s">
        <v>391</v>
      </c>
      <c r="C831" s="158"/>
      <c r="D831" s="193">
        <v>6.53</v>
      </c>
      <c r="E831" s="167"/>
      <c r="F831" s="168"/>
      <c r="G831" s="169"/>
      <c r="H831" s="194">
        <v>2.0</v>
      </c>
      <c r="I831" s="161">
        <f t="shared" ref="I831:I833" si="59">D831*H831</f>
        <v>13.06</v>
      </c>
      <c r="J831" s="15"/>
      <c r="K831" s="119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5"/>
    </row>
    <row r="832" ht="15.0" customHeight="1">
      <c r="A832" s="19"/>
      <c r="B832" s="86" t="s">
        <v>392</v>
      </c>
      <c r="C832" s="158"/>
      <c r="D832" s="193">
        <v>1.94</v>
      </c>
      <c r="E832" s="167"/>
      <c r="F832" s="168"/>
      <c r="G832" s="173"/>
      <c r="H832" s="195">
        <v>2.0</v>
      </c>
      <c r="I832" s="161">
        <f t="shared" si="59"/>
        <v>3.88</v>
      </c>
      <c r="J832" s="15"/>
      <c r="K832" s="4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5"/>
    </row>
    <row r="833" ht="15.0" customHeight="1">
      <c r="A833" s="19"/>
      <c r="B833" s="86" t="s">
        <v>393</v>
      </c>
      <c r="C833" s="158"/>
      <c r="D833" s="158">
        <f>521.4*0.12</f>
        <v>62.568</v>
      </c>
      <c r="E833" s="167"/>
      <c r="F833" s="168"/>
      <c r="G833" s="169"/>
      <c r="H833" s="194">
        <v>2.0</v>
      </c>
      <c r="I833" s="161">
        <f t="shared" si="59"/>
        <v>125.136</v>
      </c>
      <c r="J833" s="15"/>
      <c r="K833" s="4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5"/>
    </row>
    <row r="834" ht="15.0" customHeight="1">
      <c r="A834" s="19"/>
      <c r="B834" s="82" t="s">
        <v>397</v>
      </c>
      <c r="C834" s="39"/>
      <c r="D834" s="39"/>
      <c r="E834" s="39"/>
      <c r="F834" s="39"/>
      <c r="G834" s="39"/>
      <c r="H834" s="40"/>
      <c r="I834" s="41">
        <f>SUM(I831:I833)</f>
        <v>142.076</v>
      </c>
      <c r="J834" s="4"/>
      <c r="K834" s="119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5"/>
    </row>
    <row r="835" ht="15.0" customHeight="1">
      <c r="A835" s="19"/>
      <c r="B835" s="184"/>
      <c r="C835" s="15"/>
      <c r="D835" s="15"/>
      <c r="E835" s="15"/>
      <c r="F835" s="15"/>
      <c r="G835" s="16"/>
      <c r="H835" s="15"/>
      <c r="I835" s="15"/>
      <c r="J835" s="4"/>
      <c r="K835" s="4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5"/>
    </row>
    <row r="836" ht="15.0" customHeight="1">
      <c r="A836" s="58" t="s">
        <v>402</v>
      </c>
      <c r="B836" s="21" t="s">
        <v>403</v>
      </c>
      <c r="C836" s="66"/>
      <c r="D836" s="15"/>
      <c r="E836" s="66"/>
      <c r="F836" s="66"/>
      <c r="G836" s="165"/>
      <c r="H836" s="66"/>
      <c r="I836" s="15"/>
      <c r="J836" s="4"/>
      <c r="K836" s="4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5"/>
    </row>
    <row r="837" ht="15.0" customHeight="1">
      <c r="A837" s="12"/>
      <c r="B837" s="67"/>
      <c r="C837" s="66"/>
      <c r="D837" s="15"/>
      <c r="E837" s="66"/>
      <c r="F837" s="66"/>
      <c r="G837" s="165"/>
      <c r="H837" s="66"/>
      <c r="I837" s="66"/>
      <c r="J837" s="4"/>
      <c r="K837" s="4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5"/>
    </row>
    <row r="838" ht="15.0" customHeight="1">
      <c r="A838" s="19"/>
      <c r="B838" s="24" t="s">
        <v>6</v>
      </c>
      <c r="C838" s="25" t="s">
        <v>7</v>
      </c>
      <c r="D838" s="192" t="s">
        <v>387</v>
      </c>
      <c r="E838" s="43" t="s">
        <v>8</v>
      </c>
      <c r="F838" s="25" t="s">
        <v>9</v>
      </c>
      <c r="G838" s="84" t="s">
        <v>10</v>
      </c>
      <c r="H838" s="59" t="s">
        <v>388</v>
      </c>
      <c r="I838" s="191" t="s">
        <v>21</v>
      </c>
      <c r="J838" s="15"/>
      <c r="K838" s="119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5"/>
    </row>
    <row r="839" ht="15.0" customHeight="1">
      <c r="A839" s="19"/>
      <c r="B839" s="86" t="s">
        <v>404</v>
      </c>
      <c r="C839" s="158"/>
      <c r="D839" s="193"/>
      <c r="E839" s="167"/>
      <c r="F839" s="168"/>
      <c r="G839" s="169"/>
      <c r="H839" s="194"/>
      <c r="I839" s="185">
        <v>227.8</v>
      </c>
      <c r="J839" s="15"/>
      <c r="K839" s="119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5"/>
    </row>
    <row r="840" ht="15.0" customHeight="1">
      <c r="A840" s="19"/>
      <c r="B840" s="82" t="s">
        <v>99</v>
      </c>
      <c r="C840" s="39"/>
      <c r="D840" s="39"/>
      <c r="E840" s="39"/>
      <c r="F840" s="39"/>
      <c r="G840" s="39"/>
      <c r="H840" s="40"/>
      <c r="I840" s="41">
        <f>I839</f>
        <v>227.8</v>
      </c>
      <c r="J840" s="4"/>
      <c r="K840" s="119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5"/>
    </row>
    <row r="841" ht="15.75" customHeight="1">
      <c r="A841" s="19"/>
      <c r="B841" s="184"/>
      <c r="C841" s="15"/>
      <c r="D841" s="15"/>
      <c r="E841" s="15"/>
      <c r="F841" s="15"/>
      <c r="G841" s="16"/>
      <c r="H841" s="15"/>
      <c r="I841" s="15"/>
      <c r="J841" s="4"/>
      <c r="K841" s="4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5"/>
    </row>
    <row r="842" ht="15.75" customHeight="1">
      <c r="A842" s="19"/>
      <c r="B842" s="184"/>
      <c r="C842" s="15"/>
      <c r="D842" s="15"/>
      <c r="E842" s="15"/>
      <c r="F842" s="15"/>
      <c r="G842" s="16"/>
      <c r="H842" s="15"/>
      <c r="I842" s="15"/>
      <c r="J842" s="4"/>
      <c r="K842" s="4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5"/>
    </row>
    <row r="843" ht="15.75" customHeight="1">
      <c r="A843" s="19"/>
      <c r="B843" s="184"/>
      <c r="C843" s="15"/>
      <c r="D843" s="15"/>
      <c r="E843" s="15"/>
      <c r="F843" s="15"/>
      <c r="G843" s="16"/>
      <c r="H843" s="15"/>
      <c r="I843" s="15"/>
      <c r="J843" s="4"/>
      <c r="K843" s="4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5"/>
    </row>
    <row r="844" ht="15.75" customHeight="1">
      <c r="A844" s="19"/>
      <c r="B844" s="184"/>
      <c r="C844" s="15"/>
      <c r="D844" s="15"/>
      <c r="E844" s="15"/>
      <c r="F844" s="15"/>
      <c r="G844" s="16"/>
      <c r="H844" s="15"/>
      <c r="I844" s="15"/>
      <c r="J844" s="4"/>
      <c r="K844" s="4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5"/>
    </row>
    <row r="845" ht="15.75" customHeight="1">
      <c r="A845" s="19"/>
      <c r="B845" s="184"/>
      <c r="C845" s="15"/>
      <c r="D845" s="15"/>
      <c r="E845" s="15"/>
      <c r="F845" s="15"/>
      <c r="G845" s="16"/>
      <c r="H845" s="15"/>
      <c r="I845" s="15"/>
      <c r="J845" s="4"/>
      <c r="K845" s="4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5"/>
    </row>
    <row r="846" ht="15.75" customHeight="1">
      <c r="A846" s="19"/>
      <c r="B846" s="184"/>
      <c r="C846" s="15"/>
      <c r="D846" s="15"/>
      <c r="E846" s="15"/>
      <c r="F846" s="15"/>
      <c r="G846" s="16"/>
      <c r="H846" s="15"/>
      <c r="I846" s="15"/>
      <c r="J846" s="4"/>
      <c r="K846" s="4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5"/>
    </row>
    <row r="847" ht="15.75" customHeight="1">
      <c r="A847" s="19"/>
      <c r="B847" s="184"/>
      <c r="C847" s="15"/>
      <c r="D847" s="15"/>
      <c r="E847" s="15"/>
      <c r="F847" s="15"/>
      <c r="G847" s="16"/>
      <c r="H847" s="15"/>
      <c r="I847" s="15"/>
      <c r="J847" s="4"/>
      <c r="K847" s="4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5"/>
    </row>
    <row r="848" ht="15.75" customHeight="1">
      <c r="A848" s="19"/>
      <c r="B848" s="184"/>
      <c r="C848" s="15"/>
      <c r="D848" s="15"/>
      <c r="E848" s="15"/>
      <c r="F848" s="15"/>
      <c r="G848" s="16"/>
      <c r="H848" s="15"/>
      <c r="I848" s="15"/>
      <c r="J848" s="4"/>
      <c r="K848" s="4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5"/>
    </row>
    <row r="849" ht="15.75" customHeight="1">
      <c r="A849" s="19"/>
      <c r="B849" s="184"/>
      <c r="C849" s="15"/>
      <c r="D849" s="15"/>
      <c r="E849" s="15"/>
      <c r="F849" s="15"/>
      <c r="G849" s="16"/>
      <c r="H849" s="15"/>
      <c r="I849" s="15"/>
      <c r="J849" s="4"/>
      <c r="K849" s="4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5"/>
    </row>
    <row r="850" ht="15.75" customHeight="1">
      <c r="A850" s="19"/>
      <c r="B850" s="184"/>
      <c r="C850" s="15"/>
      <c r="D850" s="15"/>
      <c r="E850" s="15"/>
      <c r="F850" s="15"/>
      <c r="G850" s="16"/>
      <c r="H850" s="15"/>
      <c r="I850" s="15"/>
      <c r="J850" s="4"/>
      <c r="K850" s="4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5"/>
    </row>
    <row r="851" ht="15.75" customHeight="1">
      <c r="A851" s="19"/>
      <c r="B851" s="184"/>
      <c r="C851" s="15"/>
      <c r="D851" s="15"/>
      <c r="E851" s="15"/>
      <c r="F851" s="15"/>
      <c r="G851" s="16"/>
      <c r="H851" s="15"/>
      <c r="I851" s="15"/>
      <c r="J851" s="4"/>
      <c r="K851" s="4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5"/>
    </row>
    <row r="852" ht="15.75" customHeight="1">
      <c r="A852" s="19"/>
      <c r="B852" s="184"/>
      <c r="C852" s="15"/>
      <c r="D852" s="15"/>
      <c r="E852" s="15"/>
      <c r="F852" s="15"/>
      <c r="G852" s="16"/>
      <c r="H852" s="15"/>
      <c r="I852" s="15"/>
      <c r="J852" s="4"/>
      <c r="K852" s="4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5"/>
    </row>
    <row r="853" ht="15.75" customHeight="1">
      <c r="A853" s="19"/>
      <c r="B853" s="184"/>
      <c r="C853" s="15"/>
      <c r="D853" s="15"/>
      <c r="E853" s="15"/>
      <c r="F853" s="15"/>
      <c r="G853" s="16"/>
      <c r="H853" s="15"/>
      <c r="I853" s="15"/>
      <c r="J853" s="4"/>
      <c r="K853" s="4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5"/>
    </row>
    <row r="854" ht="15.75" customHeight="1">
      <c r="A854" s="19"/>
      <c r="B854" s="184"/>
      <c r="C854" s="15"/>
      <c r="D854" s="15"/>
      <c r="E854" s="15"/>
      <c r="F854" s="15"/>
      <c r="G854" s="16"/>
      <c r="H854" s="15"/>
      <c r="I854" s="15"/>
      <c r="J854" s="4"/>
      <c r="K854" s="4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5"/>
    </row>
    <row r="855" ht="15.75" customHeight="1">
      <c r="A855" s="19"/>
      <c r="B855" s="184"/>
      <c r="C855" s="15"/>
      <c r="D855" s="15"/>
      <c r="E855" s="15"/>
      <c r="F855" s="15"/>
      <c r="G855" s="16"/>
      <c r="H855" s="15"/>
      <c r="I855" s="15"/>
      <c r="J855" s="4"/>
      <c r="K855" s="4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5"/>
    </row>
    <row r="856" ht="15.75" customHeight="1">
      <c r="A856" s="19"/>
      <c r="B856" s="184"/>
      <c r="C856" s="15"/>
      <c r="D856" s="15"/>
      <c r="E856" s="15"/>
      <c r="F856" s="15"/>
      <c r="G856" s="16"/>
      <c r="H856" s="15"/>
      <c r="I856" s="15"/>
      <c r="J856" s="4"/>
      <c r="K856" s="4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5"/>
    </row>
    <row r="857" ht="15.75" customHeight="1">
      <c r="A857" s="19"/>
      <c r="B857" s="184"/>
      <c r="C857" s="15"/>
      <c r="D857" s="15"/>
      <c r="E857" s="15"/>
      <c r="F857" s="15"/>
      <c r="G857" s="16"/>
      <c r="H857" s="15"/>
      <c r="I857" s="15"/>
      <c r="J857" s="4"/>
      <c r="K857" s="4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5"/>
    </row>
    <row r="858" ht="15.75" customHeight="1">
      <c r="A858" s="19"/>
      <c r="B858" s="184"/>
      <c r="C858" s="15"/>
      <c r="D858" s="15"/>
      <c r="E858" s="15"/>
      <c r="F858" s="15"/>
      <c r="G858" s="16"/>
      <c r="H858" s="15"/>
      <c r="I858" s="15"/>
      <c r="J858" s="4"/>
      <c r="K858" s="4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5"/>
    </row>
    <row r="859" ht="15.75" customHeight="1">
      <c r="A859" s="19"/>
      <c r="B859" s="184"/>
      <c r="C859" s="15"/>
      <c r="D859" s="15"/>
      <c r="E859" s="15"/>
      <c r="F859" s="15"/>
      <c r="G859" s="16"/>
      <c r="H859" s="15"/>
      <c r="I859" s="15"/>
      <c r="J859" s="4"/>
      <c r="K859" s="4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5"/>
    </row>
    <row r="860" ht="15.75" customHeight="1">
      <c r="A860" s="19"/>
      <c r="B860" s="184"/>
      <c r="C860" s="15"/>
      <c r="D860" s="15"/>
      <c r="E860" s="15"/>
      <c r="F860" s="15"/>
      <c r="G860" s="16"/>
      <c r="H860" s="15"/>
      <c r="I860" s="15"/>
      <c r="J860" s="4"/>
      <c r="K860" s="4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5"/>
    </row>
    <row r="861" ht="15.75" customHeight="1">
      <c r="A861" s="19"/>
      <c r="B861" s="184"/>
      <c r="C861" s="15"/>
      <c r="D861" s="15"/>
      <c r="E861" s="15"/>
      <c r="F861" s="15"/>
      <c r="G861" s="16"/>
      <c r="H861" s="15"/>
      <c r="I861" s="15"/>
      <c r="J861" s="4"/>
      <c r="K861" s="4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5"/>
    </row>
    <row r="862" ht="15.75" customHeight="1">
      <c r="A862" s="19"/>
      <c r="B862" s="184"/>
      <c r="C862" s="15"/>
      <c r="D862" s="15"/>
      <c r="E862" s="15"/>
      <c r="F862" s="15"/>
      <c r="G862" s="16"/>
      <c r="H862" s="15"/>
      <c r="I862" s="15"/>
      <c r="J862" s="4"/>
      <c r="K862" s="4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5"/>
    </row>
    <row r="863" ht="15.75" customHeight="1">
      <c r="A863" s="19"/>
      <c r="B863" s="184"/>
      <c r="C863" s="15"/>
      <c r="D863" s="15"/>
      <c r="E863" s="15"/>
      <c r="F863" s="15"/>
      <c r="G863" s="16"/>
      <c r="H863" s="15"/>
      <c r="I863" s="15"/>
      <c r="J863" s="4"/>
      <c r="K863" s="4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5"/>
    </row>
    <row r="864" ht="15.75" customHeight="1">
      <c r="A864" s="19"/>
      <c r="B864" s="184"/>
      <c r="C864" s="15"/>
      <c r="D864" s="15"/>
      <c r="E864" s="15"/>
      <c r="F864" s="15"/>
      <c r="G864" s="16"/>
      <c r="H864" s="15"/>
      <c r="I864" s="15"/>
      <c r="J864" s="4"/>
      <c r="K864" s="4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5"/>
    </row>
    <row r="865" ht="15.75" customHeight="1">
      <c r="A865" s="19"/>
      <c r="B865" s="184"/>
      <c r="C865" s="15"/>
      <c r="D865" s="15"/>
      <c r="E865" s="15"/>
      <c r="F865" s="15"/>
      <c r="G865" s="16"/>
      <c r="H865" s="15"/>
      <c r="I865" s="15"/>
      <c r="J865" s="4"/>
      <c r="K865" s="4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5"/>
    </row>
    <row r="866" ht="15.75" customHeight="1">
      <c r="A866" s="19"/>
      <c r="B866" s="184"/>
      <c r="C866" s="15"/>
      <c r="D866" s="15"/>
      <c r="E866" s="15"/>
      <c r="F866" s="15"/>
      <c r="G866" s="16"/>
      <c r="H866" s="15"/>
      <c r="I866" s="15"/>
      <c r="J866" s="4"/>
      <c r="K866" s="4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5"/>
    </row>
    <row r="867" ht="15.75" customHeight="1">
      <c r="A867" s="19"/>
      <c r="B867" s="184"/>
      <c r="C867" s="15"/>
      <c r="D867" s="15"/>
      <c r="E867" s="15"/>
      <c r="F867" s="15"/>
      <c r="G867" s="16"/>
      <c r="H867" s="15"/>
      <c r="I867" s="15"/>
      <c r="J867" s="4"/>
      <c r="K867" s="4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5"/>
    </row>
    <row r="868" ht="15.75" customHeight="1">
      <c r="A868" s="19"/>
      <c r="B868" s="184"/>
      <c r="C868" s="15"/>
      <c r="D868" s="15"/>
      <c r="E868" s="15"/>
      <c r="F868" s="15"/>
      <c r="G868" s="16"/>
      <c r="H868" s="15"/>
      <c r="I868" s="15"/>
      <c r="J868" s="4"/>
      <c r="K868" s="4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5"/>
    </row>
    <row r="869" ht="15.75" customHeight="1">
      <c r="A869" s="19"/>
      <c r="B869" s="184"/>
      <c r="C869" s="15"/>
      <c r="D869" s="15"/>
      <c r="E869" s="15"/>
      <c r="F869" s="15"/>
      <c r="G869" s="16"/>
      <c r="H869" s="15"/>
      <c r="I869" s="15"/>
      <c r="J869" s="4"/>
      <c r="K869" s="4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5"/>
    </row>
    <row r="870" ht="15.75" customHeight="1">
      <c r="A870" s="19"/>
      <c r="B870" s="184"/>
      <c r="C870" s="15"/>
      <c r="D870" s="15"/>
      <c r="E870" s="15"/>
      <c r="F870" s="15"/>
      <c r="G870" s="16"/>
      <c r="H870" s="15"/>
      <c r="I870" s="15"/>
      <c r="J870" s="4"/>
      <c r="K870" s="4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5"/>
    </row>
    <row r="871" ht="15.75" customHeight="1">
      <c r="A871" s="19"/>
      <c r="B871" s="184"/>
      <c r="C871" s="15"/>
      <c r="D871" s="15"/>
      <c r="E871" s="15"/>
      <c r="F871" s="15"/>
      <c r="G871" s="16"/>
      <c r="H871" s="15"/>
      <c r="I871" s="15"/>
      <c r="J871" s="4"/>
      <c r="K871" s="4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5"/>
    </row>
    <row r="872" ht="15.75" customHeight="1">
      <c r="A872" s="19"/>
      <c r="B872" s="184"/>
      <c r="C872" s="15"/>
      <c r="D872" s="15"/>
      <c r="E872" s="15"/>
      <c r="F872" s="15"/>
      <c r="G872" s="16"/>
      <c r="H872" s="15"/>
      <c r="I872" s="15"/>
      <c r="J872" s="4"/>
      <c r="K872" s="4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5"/>
    </row>
    <row r="873" ht="15.75" customHeight="1">
      <c r="A873" s="19"/>
      <c r="B873" s="184"/>
      <c r="C873" s="15"/>
      <c r="D873" s="15"/>
      <c r="E873" s="15"/>
      <c r="F873" s="15"/>
      <c r="G873" s="16"/>
      <c r="H873" s="15"/>
      <c r="I873" s="15"/>
      <c r="J873" s="4"/>
      <c r="K873" s="4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5"/>
    </row>
    <row r="874" ht="15.75" customHeight="1">
      <c r="A874" s="19"/>
      <c r="B874" s="184"/>
      <c r="C874" s="15"/>
      <c r="D874" s="15"/>
      <c r="E874" s="15"/>
      <c r="F874" s="15"/>
      <c r="G874" s="16"/>
      <c r="H874" s="15"/>
      <c r="I874" s="15"/>
      <c r="J874" s="4"/>
      <c r="K874" s="4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5"/>
    </row>
    <row r="875" ht="15.75" customHeight="1">
      <c r="A875" s="19"/>
      <c r="B875" s="184"/>
      <c r="C875" s="15"/>
      <c r="D875" s="15"/>
      <c r="E875" s="15"/>
      <c r="F875" s="15"/>
      <c r="G875" s="16"/>
      <c r="H875" s="15"/>
      <c r="I875" s="15"/>
      <c r="J875" s="4"/>
      <c r="K875" s="4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5"/>
    </row>
    <row r="876" ht="15.75" customHeight="1">
      <c r="A876" s="19"/>
      <c r="B876" s="184"/>
      <c r="C876" s="15"/>
      <c r="D876" s="15"/>
      <c r="E876" s="15"/>
      <c r="F876" s="15"/>
      <c r="G876" s="16"/>
      <c r="H876" s="15"/>
      <c r="I876" s="15"/>
      <c r="J876" s="4"/>
      <c r="K876" s="4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5"/>
    </row>
    <row r="877" ht="15.75" customHeight="1">
      <c r="A877" s="19"/>
      <c r="B877" s="184"/>
      <c r="C877" s="15"/>
      <c r="D877" s="15"/>
      <c r="E877" s="15"/>
      <c r="F877" s="15"/>
      <c r="G877" s="16"/>
      <c r="H877" s="15"/>
      <c r="I877" s="15"/>
      <c r="J877" s="4"/>
      <c r="K877" s="4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5"/>
    </row>
    <row r="878" ht="15.75" customHeight="1">
      <c r="A878" s="19"/>
      <c r="B878" s="184"/>
      <c r="C878" s="15"/>
      <c r="D878" s="15"/>
      <c r="E878" s="15"/>
      <c r="F878" s="15"/>
      <c r="G878" s="16"/>
      <c r="H878" s="15"/>
      <c r="I878" s="15"/>
      <c r="J878" s="4"/>
      <c r="K878" s="4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5"/>
    </row>
    <row r="879" ht="15.75" customHeight="1">
      <c r="A879" s="19"/>
      <c r="B879" s="184"/>
      <c r="C879" s="15"/>
      <c r="D879" s="15"/>
      <c r="E879" s="15"/>
      <c r="F879" s="15"/>
      <c r="G879" s="16"/>
      <c r="H879" s="15"/>
      <c r="I879" s="15"/>
      <c r="J879" s="4"/>
      <c r="K879" s="4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5"/>
    </row>
    <row r="880" ht="15.75" customHeight="1">
      <c r="A880" s="19"/>
      <c r="B880" s="184"/>
      <c r="C880" s="15"/>
      <c r="D880" s="15"/>
      <c r="E880" s="15"/>
      <c r="F880" s="15"/>
      <c r="G880" s="16"/>
      <c r="H880" s="15"/>
      <c r="I880" s="15"/>
      <c r="J880" s="4"/>
      <c r="K880" s="4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5"/>
    </row>
    <row r="881" ht="15.75" customHeight="1">
      <c r="A881" s="19"/>
      <c r="B881" s="184"/>
      <c r="C881" s="15"/>
      <c r="D881" s="15"/>
      <c r="E881" s="15"/>
      <c r="F881" s="15"/>
      <c r="G881" s="16"/>
      <c r="H881" s="15"/>
      <c r="I881" s="15"/>
      <c r="J881" s="4"/>
      <c r="K881" s="4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5"/>
    </row>
    <row r="882" ht="15.75" customHeight="1">
      <c r="A882" s="19"/>
      <c r="B882" s="184"/>
      <c r="C882" s="15"/>
      <c r="D882" s="15"/>
      <c r="E882" s="15"/>
      <c r="F882" s="15"/>
      <c r="G882" s="16"/>
      <c r="H882" s="15"/>
      <c r="I882" s="15"/>
      <c r="J882" s="4"/>
      <c r="K882" s="4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5"/>
    </row>
    <row r="883" ht="15.75" customHeight="1">
      <c r="A883" s="19"/>
      <c r="B883" s="184"/>
      <c r="C883" s="15"/>
      <c r="D883" s="15"/>
      <c r="E883" s="15"/>
      <c r="F883" s="15"/>
      <c r="G883" s="16"/>
      <c r="H883" s="15"/>
      <c r="I883" s="15"/>
      <c r="J883" s="4"/>
      <c r="K883" s="4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5"/>
    </row>
    <row r="884" ht="15.75" customHeight="1">
      <c r="A884" s="19"/>
      <c r="B884" s="184"/>
      <c r="C884" s="15"/>
      <c r="D884" s="15"/>
      <c r="E884" s="15"/>
      <c r="F884" s="15"/>
      <c r="G884" s="16"/>
      <c r="H884" s="15"/>
      <c r="I884" s="15"/>
      <c r="J884" s="4"/>
      <c r="K884" s="4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5"/>
    </row>
    <row r="885" ht="15.75" customHeight="1">
      <c r="A885" s="19"/>
      <c r="B885" s="184"/>
      <c r="C885" s="15"/>
      <c r="D885" s="15"/>
      <c r="E885" s="15"/>
      <c r="F885" s="15"/>
      <c r="G885" s="16"/>
      <c r="H885" s="15"/>
      <c r="I885" s="15"/>
      <c r="J885" s="4"/>
      <c r="K885" s="4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5"/>
    </row>
    <row r="886" ht="15.75" customHeight="1">
      <c r="A886" s="19"/>
      <c r="B886" s="184"/>
      <c r="C886" s="15"/>
      <c r="D886" s="15"/>
      <c r="E886" s="15"/>
      <c r="F886" s="15"/>
      <c r="G886" s="16"/>
      <c r="H886" s="15"/>
      <c r="I886" s="15"/>
      <c r="J886" s="4"/>
      <c r="K886" s="4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5"/>
    </row>
    <row r="887" ht="15.75" customHeight="1">
      <c r="A887" s="19"/>
      <c r="B887" s="184"/>
      <c r="C887" s="15"/>
      <c r="D887" s="15"/>
      <c r="E887" s="15"/>
      <c r="F887" s="15"/>
      <c r="G887" s="16"/>
      <c r="H887" s="15"/>
      <c r="I887" s="15"/>
      <c r="J887" s="4"/>
      <c r="K887" s="4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5"/>
    </row>
    <row r="888" ht="15.75" customHeight="1">
      <c r="A888" s="19"/>
      <c r="B888" s="184"/>
      <c r="C888" s="15"/>
      <c r="D888" s="15"/>
      <c r="E888" s="15"/>
      <c r="F888" s="15"/>
      <c r="G888" s="16"/>
      <c r="H888" s="15"/>
      <c r="I888" s="15"/>
      <c r="J888" s="4"/>
      <c r="K888" s="4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5"/>
    </row>
    <row r="889" ht="15.75" customHeight="1">
      <c r="A889" s="19"/>
      <c r="B889" s="184"/>
      <c r="C889" s="15"/>
      <c r="D889" s="15"/>
      <c r="E889" s="15"/>
      <c r="F889" s="15"/>
      <c r="G889" s="16"/>
      <c r="H889" s="15"/>
      <c r="I889" s="15"/>
      <c r="J889" s="4"/>
      <c r="K889" s="4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5"/>
    </row>
    <row r="890" ht="15.75" customHeight="1">
      <c r="A890" s="19"/>
      <c r="B890" s="184"/>
      <c r="C890" s="15"/>
      <c r="D890" s="15"/>
      <c r="E890" s="15"/>
      <c r="F890" s="15"/>
      <c r="G890" s="16"/>
      <c r="H890" s="15"/>
      <c r="I890" s="15"/>
      <c r="J890" s="4"/>
      <c r="K890" s="4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5"/>
    </row>
    <row r="891" ht="15.75" customHeight="1">
      <c r="A891" s="19"/>
      <c r="B891" s="184"/>
      <c r="C891" s="15"/>
      <c r="D891" s="15"/>
      <c r="E891" s="15"/>
      <c r="F891" s="15"/>
      <c r="G891" s="16"/>
      <c r="H891" s="15"/>
      <c r="I891" s="15"/>
      <c r="J891" s="4"/>
      <c r="K891" s="4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5"/>
    </row>
    <row r="892" ht="15.75" customHeight="1">
      <c r="A892" s="19"/>
      <c r="B892" s="184"/>
      <c r="C892" s="15"/>
      <c r="D892" s="15"/>
      <c r="E892" s="15"/>
      <c r="F892" s="15"/>
      <c r="G892" s="16"/>
      <c r="H892" s="15"/>
      <c r="I892" s="15"/>
      <c r="J892" s="4"/>
      <c r="K892" s="4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5"/>
    </row>
    <row r="893" ht="15.75" customHeight="1">
      <c r="A893" s="19"/>
      <c r="B893" s="184"/>
      <c r="C893" s="15"/>
      <c r="D893" s="15"/>
      <c r="E893" s="15"/>
      <c r="F893" s="15"/>
      <c r="G893" s="16"/>
      <c r="H893" s="15"/>
      <c r="I893" s="15"/>
      <c r="J893" s="4"/>
      <c r="K893" s="4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5"/>
    </row>
    <row r="894" ht="15.75" customHeight="1">
      <c r="A894" s="19"/>
      <c r="B894" s="184"/>
      <c r="C894" s="15"/>
      <c r="D894" s="15"/>
      <c r="E894" s="15"/>
      <c r="F894" s="15"/>
      <c r="G894" s="16"/>
      <c r="H894" s="15"/>
      <c r="I894" s="15"/>
      <c r="J894" s="4"/>
      <c r="K894" s="4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5"/>
    </row>
    <row r="895" ht="15.75" customHeight="1">
      <c r="A895" s="19"/>
      <c r="B895" s="184"/>
      <c r="C895" s="15"/>
      <c r="D895" s="15"/>
      <c r="E895" s="15"/>
      <c r="F895" s="15"/>
      <c r="G895" s="16"/>
      <c r="H895" s="15"/>
      <c r="I895" s="15"/>
      <c r="J895" s="4"/>
      <c r="K895" s="4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5"/>
    </row>
    <row r="896" ht="15.75" customHeight="1">
      <c r="A896" s="19"/>
      <c r="B896" s="184"/>
      <c r="C896" s="15"/>
      <c r="D896" s="15"/>
      <c r="E896" s="15"/>
      <c r="F896" s="15"/>
      <c r="G896" s="16"/>
      <c r="H896" s="15"/>
      <c r="I896" s="15"/>
      <c r="J896" s="4"/>
      <c r="K896" s="4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5"/>
    </row>
    <row r="897" ht="15.75" customHeight="1">
      <c r="A897" s="19"/>
      <c r="B897" s="184"/>
      <c r="C897" s="15"/>
      <c r="D897" s="15"/>
      <c r="E897" s="15"/>
      <c r="F897" s="15"/>
      <c r="G897" s="16"/>
      <c r="H897" s="15"/>
      <c r="I897" s="15"/>
      <c r="J897" s="4"/>
      <c r="K897" s="4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5"/>
    </row>
    <row r="898" ht="15.75" customHeight="1">
      <c r="A898" s="19"/>
      <c r="B898" s="184"/>
      <c r="C898" s="15"/>
      <c r="D898" s="15"/>
      <c r="E898" s="15"/>
      <c r="F898" s="15"/>
      <c r="G898" s="16"/>
      <c r="H898" s="15"/>
      <c r="I898" s="15"/>
      <c r="J898" s="4"/>
      <c r="K898" s="4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5"/>
    </row>
    <row r="899" ht="15.75" customHeight="1">
      <c r="A899" s="19"/>
      <c r="B899" s="184"/>
      <c r="C899" s="15"/>
      <c r="D899" s="15"/>
      <c r="E899" s="15"/>
      <c r="F899" s="15"/>
      <c r="G899" s="16"/>
      <c r="H899" s="15"/>
      <c r="I899" s="15"/>
      <c r="J899" s="4"/>
      <c r="K899" s="4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5"/>
    </row>
    <row r="900" ht="15.75" customHeight="1">
      <c r="A900" s="19"/>
      <c r="B900" s="184"/>
      <c r="C900" s="15"/>
      <c r="D900" s="15"/>
      <c r="E900" s="15"/>
      <c r="F900" s="15"/>
      <c r="G900" s="16"/>
      <c r="H900" s="15"/>
      <c r="I900" s="15"/>
      <c r="J900" s="4"/>
      <c r="K900" s="4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5"/>
    </row>
    <row r="901" ht="15.75" customHeight="1">
      <c r="A901" s="19"/>
      <c r="B901" s="184"/>
      <c r="C901" s="15"/>
      <c r="D901" s="15"/>
      <c r="E901" s="15"/>
      <c r="F901" s="15"/>
      <c r="G901" s="16"/>
      <c r="H901" s="15"/>
      <c r="I901" s="15"/>
      <c r="J901" s="4"/>
      <c r="K901" s="4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5"/>
    </row>
    <row r="902" ht="15.75" customHeight="1">
      <c r="A902" s="19"/>
      <c r="B902" s="184"/>
      <c r="C902" s="15"/>
      <c r="D902" s="15"/>
      <c r="E902" s="15"/>
      <c r="F902" s="15"/>
      <c r="G902" s="16"/>
      <c r="H902" s="15"/>
      <c r="I902" s="15"/>
      <c r="J902" s="4"/>
      <c r="K902" s="4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5"/>
    </row>
    <row r="903" ht="15.75" customHeight="1">
      <c r="A903" s="19"/>
      <c r="B903" s="184"/>
      <c r="C903" s="15"/>
      <c r="D903" s="15"/>
      <c r="E903" s="15"/>
      <c r="F903" s="15"/>
      <c r="G903" s="16"/>
      <c r="H903" s="15"/>
      <c r="I903" s="15"/>
      <c r="J903" s="4"/>
      <c r="K903" s="4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5"/>
    </row>
    <row r="904" ht="15.75" customHeight="1">
      <c r="A904" s="19"/>
      <c r="B904" s="184"/>
      <c r="C904" s="15"/>
      <c r="D904" s="15"/>
      <c r="E904" s="15"/>
      <c r="F904" s="15"/>
      <c r="G904" s="16"/>
      <c r="H904" s="15"/>
      <c r="I904" s="15"/>
      <c r="J904" s="4"/>
      <c r="K904" s="4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5"/>
    </row>
    <row r="905" ht="15.75" customHeight="1">
      <c r="A905" s="19"/>
      <c r="B905" s="184"/>
      <c r="C905" s="15"/>
      <c r="D905" s="15"/>
      <c r="E905" s="15"/>
      <c r="F905" s="15"/>
      <c r="G905" s="16"/>
      <c r="H905" s="15"/>
      <c r="I905" s="15"/>
      <c r="J905" s="4"/>
      <c r="K905" s="4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5"/>
    </row>
    <row r="906" ht="15.75" customHeight="1">
      <c r="A906" s="19"/>
      <c r="B906" s="184"/>
      <c r="C906" s="15"/>
      <c r="D906" s="15"/>
      <c r="E906" s="15"/>
      <c r="F906" s="15"/>
      <c r="G906" s="16"/>
      <c r="H906" s="15"/>
      <c r="I906" s="15"/>
      <c r="J906" s="4"/>
      <c r="K906" s="4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5"/>
    </row>
    <row r="907" ht="15.75" customHeight="1">
      <c r="A907" s="19"/>
      <c r="B907" s="184"/>
      <c r="C907" s="15"/>
      <c r="D907" s="15"/>
      <c r="E907" s="15"/>
      <c r="F907" s="15"/>
      <c r="G907" s="16"/>
      <c r="H907" s="15"/>
      <c r="I907" s="15"/>
      <c r="J907" s="4"/>
      <c r="K907" s="4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5"/>
    </row>
    <row r="908" ht="15.75" customHeight="1">
      <c r="A908" s="19"/>
      <c r="B908" s="184"/>
      <c r="C908" s="15"/>
      <c r="D908" s="15"/>
      <c r="E908" s="15"/>
      <c r="F908" s="15"/>
      <c r="G908" s="16"/>
      <c r="H908" s="15"/>
      <c r="I908" s="15"/>
      <c r="J908" s="4"/>
      <c r="K908" s="4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5"/>
    </row>
    <row r="909" ht="15.75" customHeight="1">
      <c r="A909" s="19"/>
      <c r="B909" s="184"/>
      <c r="C909" s="15"/>
      <c r="D909" s="15"/>
      <c r="E909" s="15"/>
      <c r="F909" s="15"/>
      <c r="G909" s="16"/>
      <c r="H909" s="15"/>
      <c r="I909" s="15"/>
      <c r="J909" s="4"/>
      <c r="K909" s="4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5"/>
    </row>
    <row r="910" ht="15.75" customHeight="1">
      <c r="A910" s="19"/>
      <c r="B910" s="184"/>
      <c r="C910" s="15"/>
      <c r="D910" s="15"/>
      <c r="E910" s="15"/>
      <c r="F910" s="15"/>
      <c r="G910" s="16"/>
      <c r="H910" s="15"/>
      <c r="I910" s="15"/>
      <c r="J910" s="4"/>
      <c r="K910" s="4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5"/>
    </row>
    <row r="911" ht="15.75" customHeight="1">
      <c r="A911" s="19"/>
      <c r="B911" s="184"/>
      <c r="C911" s="15"/>
      <c r="D911" s="15"/>
      <c r="E911" s="15"/>
      <c r="F911" s="15"/>
      <c r="G911" s="16"/>
      <c r="H911" s="15"/>
      <c r="I911" s="15"/>
      <c r="J911" s="4"/>
      <c r="K911" s="4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5"/>
    </row>
    <row r="912" ht="15.75" customHeight="1">
      <c r="A912" s="19"/>
      <c r="B912" s="184"/>
      <c r="C912" s="15"/>
      <c r="D912" s="15"/>
      <c r="E912" s="15"/>
      <c r="F912" s="15"/>
      <c r="G912" s="16"/>
      <c r="H912" s="15"/>
      <c r="I912" s="15"/>
      <c r="J912" s="4"/>
      <c r="K912" s="4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5"/>
    </row>
    <row r="913" ht="15.75" customHeight="1">
      <c r="A913" s="19"/>
      <c r="B913" s="184"/>
      <c r="C913" s="15"/>
      <c r="D913" s="15"/>
      <c r="E913" s="15"/>
      <c r="F913" s="15"/>
      <c r="G913" s="16"/>
      <c r="H913" s="15"/>
      <c r="I913" s="15"/>
      <c r="J913" s="4"/>
      <c r="K913" s="4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5"/>
    </row>
    <row r="914" ht="15.75" customHeight="1">
      <c r="A914" s="19"/>
      <c r="B914" s="184"/>
      <c r="C914" s="15"/>
      <c r="D914" s="15"/>
      <c r="E914" s="15"/>
      <c r="F914" s="15"/>
      <c r="G914" s="16"/>
      <c r="H914" s="15"/>
      <c r="I914" s="15"/>
      <c r="J914" s="4"/>
      <c r="K914" s="4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5"/>
    </row>
    <row r="915" ht="15.75" customHeight="1">
      <c r="A915" s="19"/>
      <c r="B915" s="184"/>
      <c r="C915" s="15"/>
      <c r="D915" s="15"/>
      <c r="E915" s="15"/>
      <c r="F915" s="15"/>
      <c r="G915" s="16"/>
      <c r="H915" s="15"/>
      <c r="I915" s="15"/>
      <c r="J915" s="4"/>
      <c r="K915" s="4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5"/>
    </row>
    <row r="916" ht="15.75" customHeight="1">
      <c r="A916" s="19"/>
      <c r="B916" s="184"/>
      <c r="C916" s="15"/>
      <c r="D916" s="15"/>
      <c r="E916" s="15"/>
      <c r="F916" s="15"/>
      <c r="G916" s="16"/>
      <c r="H916" s="15"/>
      <c r="I916" s="15"/>
      <c r="J916" s="4"/>
      <c r="K916" s="4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5"/>
    </row>
    <row r="917" ht="15.75" customHeight="1">
      <c r="A917" s="19"/>
      <c r="B917" s="184"/>
      <c r="C917" s="15"/>
      <c r="D917" s="15"/>
      <c r="E917" s="15"/>
      <c r="F917" s="15"/>
      <c r="G917" s="16"/>
      <c r="H917" s="15"/>
      <c r="I917" s="15"/>
      <c r="J917" s="4"/>
      <c r="K917" s="4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5"/>
    </row>
    <row r="918" ht="15.75" customHeight="1">
      <c r="A918" s="19"/>
      <c r="B918" s="184"/>
      <c r="C918" s="15"/>
      <c r="D918" s="15"/>
      <c r="E918" s="15"/>
      <c r="F918" s="15"/>
      <c r="G918" s="16"/>
      <c r="H918" s="15"/>
      <c r="I918" s="15"/>
      <c r="J918" s="4"/>
      <c r="K918" s="4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5"/>
    </row>
    <row r="919" ht="15.75" customHeight="1">
      <c r="A919" s="19"/>
      <c r="B919" s="184"/>
      <c r="C919" s="15"/>
      <c r="D919" s="15"/>
      <c r="E919" s="15"/>
      <c r="F919" s="15"/>
      <c r="G919" s="16"/>
      <c r="H919" s="15"/>
      <c r="I919" s="15"/>
      <c r="J919" s="4"/>
      <c r="K919" s="4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5"/>
    </row>
    <row r="920" ht="15.75" customHeight="1">
      <c r="A920" s="19"/>
      <c r="B920" s="184"/>
      <c r="C920" s="15"/>
      <c r="D920" s="15"/>
      <c r="E920" s="15"/>
      <c r="F920" s="15"/>
      <c r="G920" s="16"/>
      <c r="H920" s="15"/>
      <c r="I920" s="15"/>
      <c r="J920" s="4"/>
      <c r="K920" s="4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5"/>
    </row>
    <row r="921" ht="15.75" customHeight="1">
      <c r="A921" s="19"/>
      <c r="B921" s="184"/>
      <c r="C921" s="15"/>
      <c r="D921" s="15"/>
      <c r="E921" s="15"/>
      <c r="F921" s="15"/>
      <c r="G921" s="16"/>
      <c r="H921" s="15"/>
      <c r="I921" s="15"/>
      <c r="J921" s="4"/>
      <c r="K921" s="4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5"/>
    </row>
    <row r="922" ht="15.75" customHeight="1">
      <c r="A922" s="19"/>
      <c r="B922" s="184"/>
      <c r="C922" s="15"/>
      <c r="D922" s="15"/>
      <c r="E922" s="15"/>
      <c r="F922" s="15"/>
      <c r="G922" s="16"/>
      <c r="H922" s="15"/>
      <c r="I922" s="15"/>
      <c r="J922" s="4"/>
      <c r="K922" s="4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5"/>
    </row>
    <row r="923" ht="15.75" customHeight="1">
      <c r="A923" s="19"/>
      <c r="B923" s="184"/>
      <c r="C923" s="15"/>
      <c r="D923" s="15"/>
      <c r="E923" s="15"/>
      <c r="F923" s="15"/>
      <c r="G923" s="16"/>
      <c r="H923" s="15"/>
      <c r="I923" s="15"/>
      <c r="J923" s="4"/>
      <c r="K923" s="4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5"/>
    </row>
    <row r="924" ht="15.75" customHeight="1">
      <c r="A924" s="19"/>
      <c r="B924" s="184"/>
      <c r="C924" s="15"/>
      <c r="D924" s="15"/>
      <c r="E924" s="15"/>
      <c r="F924" s="15"/>
      <c r="G924" s="16"/>
      <c r="H924" s="15"/>
      <c r="I924" s="15"/>
      <c r="J924" s="4"/>
      <c r="K924" s="4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5"/>
    </row>
    <row r="925" ht="15.75" customHeight="1">
      <c r="A925" s="19"/>
      <c r="B925" s="184"/>
      <c r="C925" s="15"/>
      <c r="D925" s="15"/>
      <c r="E925" s="15"/>
      <c r="F925" s="15"/>
      <c r="G925" s="16"/>
      <c r="H925" s="15"/>
      <c r="I925" s="15"/>
      <c r="J925" s="4"/>
      <c r="K925" s="4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5"/>
    </row>
    <row r="926" ht="15.75" customHeight="1">
      <c r="A926" s="19"/>
      <c r="B926" s="184"/>
      <c r="C926" s="15"/>
      <c r="D926" s="15"/>
      <c r="E926" s="15"/>
      <c r="F926" s="15"/>
      <c r="G926" s="16"/>
      <c r="H926" s="15"/>
      <c r="I926" s="15"/>
      <c r="J926" s="4"/>
      <c r="K926" s="4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5"/>
    </row>
    <row r="927" ht="15.75" customHeight="1">
      <c r="A927" s="19"/>
      <c r="B927" s="184"/>
      <c r="C927" s="15"/>
      <c r="D927" s="15"/>
      <c r="E927" s="15"/>
      <c r="F927" s="15"/>
      <c r="G927" s="16"/>
      <c r="H927" s="15"/>
      <c r="I927" s="15"/>
      <c r="J927" s="4"/>
      <c r="K927" s="4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5"/>
    </row>
    <row r="928" ht="15.75" customHeight="1">
      <c r="A928" s="19"/>
      <c r="B928" s="184"/>
      <c r="C928" s="15"/>
      <c r="D928" s="15"/>
      <c r="E928" s="15"/>
      <c r="F928" s="15"/>
      <c r="G928" s="16"/>
      <c r="H928" s="15"/>
      <c r="I928" s="15"/>
      <c r="J928" s="4"/>
      <c r="K928" s="4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5"/>
    </row>
    <row r="929" ht="15.75" customHeight="1">
      <c r="A929" s="19"/>
      <c r="B929" s="184"/>
      <c r="C929" s="15"/>
      <c r="D929" s="15"/>
      <c r="E929" s="15"/>
      <c r="F929" s="15"/>
      <c r="G929" s="16"/>
      <c r="H929" s="15"/>
      <c r="I929" s="15"/>
      <c r="J929" s="4"/>
      <c r="K929" s="4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5"/>
    </row>
    <row r="930" ht="15.75" customHeight="1">
      <c r="A930" s="19"/>
      <c r="B930" s="184"/>
      <c r="C930" s="15"/>
      <c r="D930" s="15"/>
      <c r="E930" s="15"/>
      <c r="F930" s="15"/>
      <c r="G930" s="16"/>
      <c r="H930" s="15"/>
      <c r="I930" s="15"/>
      <c r="J930" s="4"/>
      <c r="K930" s="4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5"/>
    </row>
    <row r="931" ht="15.75" customHeight="1">
      <c r="A931" s="19"/>
      <c r="B931" s="184"/>
      <c r="C931" s="15"/>
      <c r="D931" s="15"/>
      <c r="E931" s="15"/>
      <c r="F931" s="15"/>
      <c r="G931" s="16"/>
      <c r="H931" s="15"/>
      <c r="I931" s="15"/>
      <c r="J931" s="4"/>
      <c r="K931" s="4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5"/>
    </row>
    <row r="932" ht="15.75" customHeight="1">
      <c r="A932" s="19"/>
      <c r="B932" s="184"/>
      <c r="C932" s="15"/>
      <c r="D932" s="15"/>
      <c r="E932" s="15"/>
      <c r="F932" s="15"/>
      <c r="G932" s="16"/>
      <c r="H932" s="15"/>
      <c r="I932" s="15"/>
      <c r="J932" s="4"/>
      <c r="K932" s="4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5"/>
    </row>
    <row r="933" ht="15.75" customHeight="1">
      <c r="A933" s="19"/>
      <c r="B933" s="184"/>
      <c r="C933" s="15"/>
      <c r="D933" s="15"/>
      <c r="E933" s="15"/>
      <c r="F933" s="15"/>
      <c r="G933" s="16"/>
      <c r="H933" s="15"/>
      <c r="I933" s="15"/>
      <c r="J933" s="4"/>
      <c r="K933" s="4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5"/>
    </row>
    <row r="934" ht="15.75" customHeight="1">
      <c r="A934" s="19"/>
      <c r="B934" s="184"/>
      <c r="C934" s="15"/>
      <c r="D934" s="15"/>
      <c r="E934" s="15"/>
      <c r="F934" s="15"/>
      <c r="G934" s="16"/>
      <c r="H934" s="15"/>
      <c r="I934" s="15"/>
      <c r="J934" s="4"/>
      <c r="K934" s="4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5"/>
    </row>
    <row r="935" ht="15.75" customHeight="1">
      <c r="A935" s="19"/>
      <c r="B935" s="184"/>
      <c r="C935" s="15"/>
      <c r="D935" s="15"/>
      <c r="E935" s="15"/>
      <c r="F935" s="15"/>
      <c r="G935" s="16"/>
      <c r="H935" s="15"/>
      <c r="I935" s="15"/>
      <c r="J935" s="4"/>
      <c r="K935" s="4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5"/>
    </row>
    <row r="936" ht="15.75" customHeight="1">
      <c r="A936" s="19"/>
      <c r="B936" s="184"/>
      <c r="C936" s="15"/>
      <c r="D936" s="15"/>
      <c r="E936" s="15"/>
      <c r="F936" s="15"/>
      <c r="G936" s="16"/>
      <c r="H936" s="15"/>
      <c r="I936" s="15"/>
      <c r="J936" s="4"/>
      <c r="K936" s="4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5"/>
    </row>
    <row r="937" ht="15.75" customHeight="1">
      <c r="A937" s="19"/>
      <c r="B937" s="184"/>
      <c r="C937" s="15"/>
      <c r="D937" s="15"/>
      <c r="E937" s="15"/>
      <c r="F937" s="15"/>
      <c r="G937" s="16"/>
      <c r="H937" s="15"/>
      <c r="I937" s="15"/>
      <c r="J937" s="4"/>
      <c r="K937" s="4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5"/>
    </row>
    <row r="938" ht="15.75" customHeight="1">
      <c r="A938" s="19"/>
      <c r="B938" s="184"/>
      <c r="C938" s="15"/>
      <c r="D938" s="15"/>
      <c r="E938" s="15"/>
      <c r="F938" s="15"/>
      <c r="G938" s="16"/>
      <c r="H938" s="15"/>
      <c r="I938" s="15"/>
      <c r="J938" s="4"/>
      <c r="K938" s="4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5"/>
    </row>
    <row r="939" ht="15.75" customHeight="1">
      <c r="A939" s="19"/>
      <c r="B939" s="184"/>
      <c r="C939" s="15"/>
      <c r="D939" s="15"/>
      <c r="E939" s="15"/>
      <c r="F939" s="15"/>
      <c r="G939" s="16"/>
      <c r="H939" s="15"/>
      <c r="I939" s="15"/>
      <c r="J939" s="4"/>
      <c r="K939" s="4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5"/>
    </row>
    <row r="940" ht="15.75" customHeight="1">
      <c r="A940" s="19"/>
      <c r="B940" s="184"/>
      <c r="C940" s="15"/>
      <c r="D940" s="15"/>
      <c r="E940" s="15"/>
      <c r="F940" s="15"/>
      <c r="G940" s="16"/>
      <c r="H940" s="15"/>
      <c r="I940" s="15"/>
      <c r="J940" s="4"/>
      <c r="K940" s="4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5"/>
    </row>
    <row r="941" ht="15.75" customHeight="1">
      <c r="A941" s="19"/>
      <c r="B941" s="184"/>
      <c r="C941" s="15"/>
      <c r="D941" s="15"/>
      <c r="E941" s="15"/>
      <c r="F941" s="15"/>
      <c r="G941" s="16"/>
      <c r="H941" s="15"/>
      <c r="I941" s="15"/>
      <c r="J941" s="4"/>
      <c r="K941" s="4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5"/>
    </row>
    <row r="942" ht="15.75" customHeight="1">
      <c r="A942" s="19"/>
      <c r="B942" s="184"/>
      <c r="C942" s="15"/>
      <c r="D942" s="15"/>
      <c r="E942" s="15"/>
      <c r="F942" s="15"/>
      <c r="G942" s="16"/>
      <c r="H942" s="15"/>
      <c r="I942" s="15"/>
      <c r="J942" s="4"/>
      <c r="K942" s="4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5"/>
    </row>
    <row r="943" ht="15.75" customHeight="1">
      <c r="A943" s="19"/>
      <c r="B943" s="184"/>
      <c r="C943" s="15"/>
      <c r="D943" s="15"/>
      <c r="E943" s="15"/>
      <c r="F943" s="15"/>
      <c r="G943" s="16"/>
      <c r="H943" s="15"/>
      <c r="I943" s="15"/>
      <c r="J943" s="4"/>
      <c r="K943" s="4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5"/>
    </row>
    <row r="944" ht="15.75" customHeight="1">
      <c r="A944" s="19"/>
      <c r="B944" s="184"/>
      <c r="C944" s="15"/>
      <c r="D944" s="15"/>
      <c r="E944" s="15"/>
      <c r="F944" s="15"/>
      <c r="G944" s="16"/>
      <c r="H944" s="15"/>
      <c r="I944" s="15"/>
      <c r="J944" s="4"/>
      <c r="K944" s="4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5"/>
    </row>
    <row r="945" ht="15.75" customHeight="1">
      <c r="A945" s="19"/>
      <c r="B945" s="184"/>
      <c r="C945" s="15"/>
      <c r="D945" s="15"/>
      <c r="E945" s="15"/>
      <c r="F945" s="15"/>
      <c r="G945" s="16"/>
      <c r="H945" s="15"/>
      <c r="I945" s="15"/>
      <c r="J945" s="4"/>
      <c r="K945" s="4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5"/>
    </row>
    <row r="946" ht="15.75" customHeight="1">
      <c r="A946" s="19"/>
      <c r="B946" s="184"/>
      <c r="C946" s="15"/>
      <c r="D946" s="15"/>
      <c r="E946" s="15"/>
      <c r="F946" s="15"/>
      <c r="G946" s="16"/>
      <c r="H946" s="15"/>
      <c r="I946" s="15"/>
      <c r="J946" s="4"/>
      <c r="K946" s="4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5"/>
    </row>
    <row r="947" ht="15.75" customHeight="1">
      <c r="A947" s="19"/>
      <c r="B947" s="184"/>
      <c r="C947" s="15"/>
      <c r="D947" s="15"/>
      <c r="E947" s="15"/>
      <c r="F947" s="15"/>
      <c r="G947" s="16"/>
      <c r="H947" s="15"/>
      <c r="I947" s="15"/>
      <c r="J947" s="4"/>
      <c r="K947" s="4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5"/>
    </row>
    <row r="948" ht="15.75" customHeight="1">
      <c r="A948" s="19"/>
      <c r="B948" s="184"/>
      <c r="C948" s="15"/>
      <c r="D948" s="15"/>
      <c r="E948" s="15"/>
      <c r="F948" s="15"/>
      <c r="G948" s="16"/>
      <c r="H948" s="15"/>
      <c r="I948" s="15"/>
      <c r="J948" s="4"/>
      <c r="K948" s="4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5"/>
    </row>
    <row r="949" ht="15.75" customHeight="1">
      <c r="A949" s="19"/>
      <c r="B949" s="184"/>
      <c r="C949" s="15"/>
      <c r="D949" s="15"/>
      <c r="E949" s="15"/>
      <c r="F949" s="15"/>
      <c r="G949" s="16"/>
      <c r="H949" s="15"/>
      <c r="I949" s="15"/>
      <c r="J949" s="4"/>
      <c r="K949" s="4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5"/>
    </row>
    <row r="950" ht="15.75" customHeight="1">
      <c r="A950" s="19"/>
      <c r="B950" s="184"/>
      <c r="C950" s="15"/>
      <c r="D950" s="15"/>
      <c r="E950" s="15"/>
      <c r="F950" s="15"/>
      <c r="G950" s="16"/>
      <c r="H950" s="15"/>
      <c r="I950" s="15"/>
      <c r="J950" s="4"/>
      <c r="K950" s="4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5"/>
    </row>
    <row r="951" ht="15.75" customHeight="1">
      <c r="A951" s="19"/>
      <c r="B951" s="184"/>
      <c r="C951" s="15"/>
      <c r="D951" s="15"/>
      <c r="E951" s="15"/>
      <c r="F951" s="15"/>
      <c r="G951" s="16"/>
      <c r="H951" s="15"/>
      <c r="I951" s="15"/>
      <c r="J951" s="4"/>
      <c r="K951" s="4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5"/>
    </row>
    <row r="952" ht="15.75" customHeight="1">
      <c r="A952" s="19"/>
      <c r="B952" s="184"/>
      <c r="C952" s="15"/>
      <c r="D952" s="15"/>
      <c r="E952" s="15"/>
      <c r="F952" s="15"/>
      <c r="G952" s="16"/>
      <c r="H952" s="15"/>
      <c r="I952" s="15"/>
      <c r="J952" s="4"/>
      <c r="K952" s="4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5"/>
    </row>
    <row r="953" ht="15.75" customHeight="1">
      <c r="A953" s="19"/>
      <c r="B953" s="184"/>
      <c r="C953" s="15"/>
      <c r="D953" s="15"/>
      <c r="E953" s="15"/>
      <c r="F953" s="15"/>
      <c r="G953" s="16"/>
      <c r="H953" s="15"/>
      <c r="I953" s="15"/>
      <c r="J953" s="4"/>
      <c r="K953" s="4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5"/>
    </row>
  </sheetData>
  <mergeCells count="150">
    <mergeCell ref="A1:I1"/>
    <mergeCell ref="B11:H11"/>
    <mergeCell ref="B13:I13"/>
    <mergeCell ref="B19:H19"/>
    <mergeCell ref="B21:I21"/>
    <mergeCell ref="B28:H28"/>
    <mergeCell ref="B34:H34"/>
    <mergeCell ref="B40:H40"/>
    <mergeCell ref="B47:H47"/>
    <mergeCell ref="B53:I53"/>
    <mergeCell ref="B74:H74"/>
    <mergeCell ref="B76:I76"/>
    <mergeCell ref="B83:H83"/>
    <mergeCell ref="B85:I85"/>
    <mergeCell ref="B92:H92"/>
    <mergeCell ref="B95:I95"/>
    <mergeCell ref="B106:H106"/>
    <mergeCell ref="B108:I108"/>
    <mergeCell ref="B112:H112"/>
    <mergeCell ref="B123:H123"/>
    <mergeCell ref="B130:H130"/>
    <mergeCell ref="B137:H137"/>
    <mergeCell ref="B139:I139"/>
    <mergeCell ref="B144:H144"/>
    <mergeCell ref="B152:H152"/>
    <mergeCell ref="B159:H159"/>
    <mergeCell ref="B169:H169"/>
    <mergeCell ref="B176:H176"/>
    <mergeCell ref="B183:H183"/>
    <mergeCell ref="B190:H190"/>
    <mergeCell ref="B197:H197"/>
    <mergeCell ref="B199:I199"/>
    <mergeCell ref="B220:H220"/>
    <mergeCell ref="B230:H230"/>
    <mergeCell ref="B232:I232"/>
    <mergeCell ref="B237:H237"/>
    <mergeCell ref="B246:B247"/>
    <mergeCell ref="B251:H251"/>
    <mergeCell ref="B259:H259"/>
    <mergeCell ref="B261:I261"/>
    <mergeCell ref="B268:H268"/>
    <mergeCell ref="B277:H277"/>
    <mergeCell ref="B286:H286"/>
    <mergeCell ref="B293:H293"/>
    <mergeCell ref="B304:H304"/>
    <mergeCell ref="B313:H313"/>
    <mergeCell ref="B315:I315"/>
    <mergeCell ref="B321:H321"/>
    <mergeCell ref="B330:H330"/>
    <mergeCell ref="B611:B612"/>
    <mergeCell ref="E611:G611"/>
    <mergeCell ref="H611:H612"/>
    <mergeCell ref="B616:G616"/>
    <mergeCell ref="B618:I618"/>
    <mergeCell ref="B620:B621"/>
    <mergeCell ref="H620:H621"/>
    <mergeCell ref="B629:B630"/>
    <mergeCell ref="B638:B639"/>
    <mergeCell ref="B646:B647"/>
    <mergeCell ref="B654:B655"/>
    <mergeCell ref="E620:G620"/>
    <mergeCell ref="B625:G625"/>
    <mergeCell ref="B627:I627"/>
    <mergeCell ref="E629:G629"/>
    <mergeCell ref="H629:H630"/>
    <mergeCell ref="B634:G634"/>
    <mergeCell ref="B636:I636"/>
    <mergeCell ref="E638:G638"/>
    <mergeCell ref="H638:H639"/>
    <mergeCell ref="B642:G642"/>
    <mergeCell ref="B644:I644"/>
    <mergeCell ref="E646:G646"/>
    <mergeCell ref="H646:H647"/>
    <mergeCell ref="B650:G650"/>
    <mergeCell ref="B652:I652"/>
    <mergeCell ref="E654:G654"/>
    <mergeCell ref="H654:H655"/>
    <mergeCell ref="B658:G658"/>
    <mergeCell ref="B667:H667"/>
    <mergeCell ref="B675:H675"/>
    <mergeCell ref="B685:H685"/>
    <mergeCell ref="B695:H695"/>
    <mergeCell ref="B705:H705"/>
    <mergeCell ref="B712:H712"/>
    <mergeCell ref="B720:H720"/>
    <mergeCell ref="B726:H726"/>
    <mergeCell ref="B734:H734"/>
    <mergeCell ref="B740:H740"/>
    <mergeCell ref="B800:H800"/>
    <mergeCell ref="B810:H810"/>
    <mergeCell ref="B818:H818"/>
    <mergeCell ref="B826:H826"/>
    <mergeCell ref="B834:H834"/>
    <mergeCell ref="B840:H840"/>
    <mergeCell ref="B746:H746"/>
    <mergeCell ref="B758:H758"/>
    <mergeCell ref="B764:H764"/>
    <mergeCell ref="B771:H771"/>
    <mergeCell ref="B778:H778"/>
    <mergeCell ref="B785:H785"/>
    <mergeCell ref="B791:H791"/>
    <mergeCell ref="B337:H337"/>
    <mergeCell ref="B345:H345"/>
    <mergeCell ref="B354:H354"/>
    <mergeCell ref="B360:H360"/>
    <mergeCell ref="B369:H369"/>
    <mergeCell ref="B376:H376"/>
    <mergeCell ref="B382:H382"/>
    <mergeCell ref="B389:H389"/>
    <mergeCell ref="B395:H395"/>
    <mergeCell ref="B401:H401"/>
    <mergeCell ref="B408:H408"/>
    <mergeCell ref="B414:H414"/>
    <mergeCell ref="B423:H423"/>
    <mergeCell ref="B429:H429"/>
    <mergeCell ref="B467:H467"/>
    <mergeCell ref="B474:H474"/>
    <mergeCell ref="B481:H481"/>
    <mergeCell ref="B488:H488"/>
    <mergeCell ref="B492:I492"/>
    <mergeCell ref="B494:B495"/>
    <mergeCell ref="H494:H495"/>
    <mergeCell ref="E494:G494"/>
    <mergeCell ref="B500:G500"/>
    <mergeCell ref="B507:H507"/>
    <mergeCell ref="B509:I509"/>
    <mergeCell ref="B511:B512"/>
    <mergeCell ref="E511:G511"/>
    <mergeCell ref="B514:G514"/>
    <mergeCell ref="H511:H512"/>
    <mergeCell ref="H519:J519"/>
    <mergeCell ref="B524:J524"/>
    <mergeCell ref="H527:J527"/>
    <mergeCell ref="B531:J531"/>
    <mergeCell ref="H534:J534"/>
    <mergeCell ref="B542:J542"/>
    <mergeCell ref="H545:J545"/>
    <mergeCell ref="B550:J550"/>
    <mergeCell ref="H553:J553"/>
    <mergeCell ref="B557:J557"/>
    <mergeCell ref="H560:J560"/>
    <mergeCell ref="B568:J568"/>
    <mergeCell ref="H571:J571"/>
    <mergeCell ref="B580:J580"/>
    <mergeCell ref="H583:J583"/>
    <mergeCell ref="B588:J588"/>
    <mergeCell ref="H591:J591"/>
    <mergeCell ref="B596:J596"/>
    <mergeCell ref="B605:H605"/>
    <mergeCell ref="B609:I609"/>
  </mergeCells>
  <printOptions/>
  <pageMargins bottom="0.787401575" footer="0.0" header="0.0" left="0.511811024" right="0.511811024" top="0.787401575"/>
  <pageSetup fitToHeight="0" paperSize="9" orientation="portrait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26" width="8.71"/>
  </cols>
  <sheetData>
    <row r="1">
      <c r="A1" s="196" t="s">
        <v>405</v>
      </c>
    </row>
    <row r="2">
      <c r="A2" s="197" t="s">
        <v>406</v>
      </c>
    </row>
    <row r="3">
      <c r="A3" s="196" t="s">
        <v>407</v>
      </c>
      <c r="B3" s="196" t="s">
        <v>408</v>
      </c>
      <c r="C3" s="196" t="s">
        <v>409</v>
      </c>
    </row>
    <row r="4">
      <c r="A4" s="198">
        <v>0.15</v>
      </c>
      <c r="B4" s="196">
        <f t="shared" ref="B4:B16" si="1">2*3.14*A4</f>
        <v>0.942</v>
      </c>
      <c r="C4" s="196">
        <v>0.65</v>
      </c>
      <c r="D4" s="196">
        <f t="shared" ref="D4:D16" si="2">B4*C4</f>
        <v>0.6123</v>
      </c>
    </row>
    <row r="5">
      <c r="A5" s="198">
        <v>0.15</v>
      </c>
      <c r="B5" s="196">
        <f t="shared" si="1"/>
        <v>0.942</v>
      </c>
      <c r="C5" s="196">
        <v>0.96</v>
      </c>
      <c r="D5" s="196">
        <f t="shared" si="2"/>
        <v>0.90432</v>
      </c>
    </row>
    <row r="6">
      <c r="A6" s="198">
        <v>0.15</v>
      </c>
      <c r="B6" s="196">
        <f t="shared" si="1"/>
        <v>0.942</v>
      </c>
      <c r="C6" s="196">
        <v>1.3</v>
      </c>
      <c r="D6" s="196">
        <f t="shared" si="2"/>
        <v>1.2246</v>
      </c>
    </row>
    <row r="7">
      <c r="A7" s="198">
        <v>0.15</v>
      </c>
      <c r="B7" s="196">
        <f t="shared" si="1"/>
        <v>0.942</v>
      </c>
      <c r="C7" s="196">
        <v>1.62</v>
      </c>
      <c r="D7" s="196">
        <f t="shared" si="2"/>
        <v>1.52604</v>
      </c>
    </row>
    <row r="8">
      <c r="A8" s="198">
        <v>0.15</v>
      </c>
      <c r="B8" s="196">
        <f t="shared" si="1"/>
        <v>0.942</v>
      </c>
      <c r="C8" s="196">
        <v>1.95</v>
      </c>
      <c r="D8" s="196">
        <f t="shared" si="2"/>
        <v>1.8369</v>
      </c>
      <c r="H8" s="198">
        <v>13.0</v>
      </c>
      <c r="I8" s="198">
        <v>0.15</v>
      </c>
      <c r="J8" s="196">
        <f>3.14*2*0.15</f>
        <v>0.942</v>
      </c>
      <c r="K8" s="196">
        <f>(0.16+0.79+0.16+0.79)*0.2</f>
        <v>0.38</v>
      </c>
      <c r="L8" s="196">
        <f>J8+K8</f>
        <v>1.322</v>
      </c>
    </row>
    <row r="9">
      <c r="A9" s="198">
        <v>0.15</v>
      </c>
      <c r="B9" s="196">
        <f t="shared" si="1"/>
        <v>0.942</v>
      </c>
      <c r="C9" s="196">
        <v>1.95</v>
      </c>
      <c r="D9" s="196">
        <f t="shared" si="2"/>
        <v>1.8369</v>
      </c>
      <c r="L9" s="196">
        <f>10*L8</f>
        <v>13.22</v>
      </c>
    </row>
    <row r="10">
      <c r="A10" s="198">
        <v>0.15</v>
      </c>
      <c r="B10" s="196">
        <f t="shared" si="1"/>
        <v>0.942</v>
      </c>
      <c r="C10" s="196">
        <v>1.95</v>
      </c>
      <c r="D10" s="196">
        <f t="shared" si="2"/>
        <v>1.8369</v>
      </c>
    </row>
    <row r="11">
      <c r="A11" s="198">
        <v>0.15</v>
      </c>
      <c r="B11" s="196">
        <f t="shared" si="1"/>
        <v>0.942</v>
      </c>
      <c r="C11" s="198">
        <v>1.88</v>
      </c>
      <c r="D11" s="196">
        <f t="shared" si="2"/>
        <v>1.77096</v>
      </c>
      <c r="K11" s="196">
        <f>1.18*2</f>
        <v>2.36</v>
      </c>
      <c r="L11" s="196">
        <f>(0.75+0.75+1.9)*0.2</f>
        <v>0.68</v>
      </c>
    </row>
    <row r="12">
      <c r="A12" s="198">
        <v>0.15</v>
      </c>
      <c r="B12" s="196">
        <f t="shared" si="1"/>
        <v>0.942</v>
      </c>
      <c r="C12" s="198">
        <v>2.5</v>
      </c>
      <c r="D12" s="196">
        <f t="shared" si="2"/>
        <v>2.355</v>
      </c>
    </row>
    <row r="13">
      <c r="A13" s="198">
        <v>0.15</v>
      </c>
      <c r="B13" s="196">
        <f t="shared" si="1"/>
        <v>0.942</v>
      </c>
      <c r="C13" s="198">
        <v>2.8</v>
      </c>
      <c r="D13" s="196">
        <f t="shared" si="2"/>
        <v>2.6376</v>
      </c>
    </row>
    <row r="14">
      <c r="A14" s="198">
        <v>0.15</v>
      </c>
      <c r="B14" s="196">
        <f t="shared" si="1"/>
        <v>0.942</v>
      </c>
      <c r="C14" s="198">
        <v>3.15</v>
      </c>
      <c r="D14" s="196">
        <f t="shared" si="2"/>
        <v>2.9673</v>
      </c>
    </row>
    <row r="15">
      <c r="A15" s="198">
        <v>0.15</v>
      </c>
      <c r="B15" s="196">
        <f t="shared" si="1"/>
        <v>0.942</v>
      </c>
      <c r="C15" s="198">
        <v>3.75</v>
      </c>
      <c r="D15" s="196">
        <f t="shared" si="2"/>
        <v>3.5325</v>
      </c>
    </row>
    <row r="16">
      <c r="A16" s="198">
        <v>0.15</v>
      </c>
      <c r="B16" s="196">
        <f t="shared" si="1"/>
        <v>0.942</v>
      </c>
      <c r="C16" s="198">
        <v>4.05</v>
      </c>
      <c r="D16" s="196">
        <f t="shared" si="2"/>
        <v>3.8151</v>
      </c>
    </row>
    <row r="17">
      <c r="A17" s="197" t="s">
        <v>410</v>
      </c>
    </row>
    <row r="18">
      <c r="A18" s="196">
        <v>0.15</v>
      </c>
      <c r="B18" s="196">
        <v>0.25</v>
      </c>
      <c r="C18" s="196">
        <v>0.5</v>
      </c>
      <c r="D18" s="199">
        <f>(A18+B18)*C18/2*2</f>
        <v>0.2</v>
      </c>
      <c r="F18" s="196">
        <f>2.16*2</f>
        <v>4.32</v>
      </c>
      <c r="X18" s="196">
        <f>4+1.9</f>
        <v>5.9</v>
      </c>
    </row>
    <row r="19">
      <c r="A19" s="196">
        <v>0.15</v>
      </c>
      <c r="B19" s="196">
        <v>0.53</v>
      </c>
      <c r="C19" s="196">
        <v>0.2</v>
      </c>
      <c r="D19" s="196">
        <f>(A19+B19)*C19</f>
        <v>0.136</v>
      </c>
      <c r="X19" s="198">
        <v>0.2</v>
      </c>
    </row>
    <row r="20">
      <c r="D20" s="199">
        <f>D18+D19</f>
        <v>0.336</v>
      </c>
      <c r="X20" s="196">
        <f>X18*X19</f>
        <v>1.18</v>
      </c>
    </row>
    <row r="21">
      <c r="D21" s="196">
        <f>D20*2</f>
        <v>0.672</v>
      </c>
    </row>
    <row r="22">
      <c r="A22" s="197" t="s">
        <v>411</v>
      </c>
      <c r="D22" s="196">
        <v>13.0</v>
      </c>
    </row>
    <row r="23" ht="15.75" customHeight="1">
      <c r="D23" s="196">
        <f>D21*D22</f>
        <v>8.736</v>
      </c>
    </row>
    <row r="24" ht="15.75" customHeight="1">
      <c r="A24" s="197" t="s">
        <v>412</v>
      </c>
      <c r="D24" s="196">
        <f>SUM(D4:D16)</f>
        <v>26.85642</v>
      </c>
    </row>
    <row r="25" ht="15.75" customHeight="1"/>
    <row r="26" ht="15.75" customHeight="1">
      <c r="A26" s="196" t="s">
        <v>413</v>
      </c>
    </row>
    <row r="27" ht="15.75" customHeight="1">
      <c r="A27" s="196" t="s">
        <v>414</v>
      </c>
      <c r="C27" s="196" t="s">
        <v>415</v>
      </c>
      <c r="D27" s="196">
        <v>141.88</v>
      </c>
    </row>
    <row r="28" ht="15.75" customHeight="1">
      <c r="A28" s="196" t="s">
        <v>416</v>
      </c>
      <c r="D28" s="196">
        <v>139.65</v>
      </c>
    </row>
    <row r="29" ht="15.75" customHeight="1">
      <c r="C29" s="196" t="s">
        <v>417</v>
      </c>
      <c r="D29" s="196">
        <v>0.15</v>
      </c>
    </row>
    <row r="30" ht="15.75" customHeight="1">
      <c r="D30" s="196">
        <f>D28*0.23</f>
        <v>32.1195</v>
      </c>
    </row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  <row r="1001" ht="15.75" customHeight="1"/>
    <row r="1002" ht="15.75" customHeight="1"/>
  </sheetData>
  <mergeCells count="4">
    <mergeCell ref="A2:C2"/>
    <mergeCell ref="A17:C17"/>
    <mergeCell ref="A22:C22"/>
    <mergeCell ref="A24:C24"/>
  </mergeCells>
  <printOptions/>
  <pageMargins bottom="0.787401575" footer="0.0" header="0.0" left="0.511811024" right="0.511811024" top="0.7874015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2006-09-25T12:47:36Z</dcterms:created>
</cp:coreProperties>
</file>